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ЭтаКнига"/>
  <mc:AlternateContent xmlns:mc="http://schemas.openxmlformats.org/markup-compatibility/2006">
    <mc:Choice Requires="x15">
      <x15ac:absPath xmlns:x15ac="http://schemas.microsoft.com/office/spreadsheetml/2010/11/ac" url="C:\Работа\ОЛЕСЯ\ООО Управляющая компания «Содружество»\"/>
    </mc:Choice>
  </mc:AlternateContent>
  <xr:revisionPtr revIDLastSave="0" documentId="8_{593E7DEC-C6E9-4565-9ACB-6532DE2A765F}" xr6:coauthVersionLast="37" xr6:coauthVersionMax="37" xr10:uidLastSave="{00000000-0000-0000-0000-000000000000}"/>
  <bookViews>
    <workbookView xWindow="-120" yWindow="-120" windowWidth="20730" windowHeight="11760" firstSheet="2" activeTab="6" xr2:uid="{00000000-000D-0000-FFFF-FFFF00000000}"/>
  </bookViews>
  <sheets>
    <sheet name="Спортивный 5" sheetId="3" r:id="rId1"/>
    <sheet name="мясникова 23-1" sheetId="5" r:id="rId2"/>
    <sheet name="мясникова 18" sheetId="4" r:id="rId3"/>
    <sheet name="бийская 11" sheetId="6" r:id="rId4"/>
    <sheet name="набережная 1" sheetId="7" r:id="rId5"/>
    <sheet name="советская 9" sheetId="8" r:id="rId6"/>
    <sheet name="Ждановых 3" sheetId="2" r:id="rId7"/>
  </sheets>
  <calcPr calcId="179021" refMode="R1C1"/>
</workbook>
</file>

<file path=xl/calcChain.xml><?xml version="1.0" encoding="utf-8"?>
<calcChain xmlns="http://schemas.openxmlformats.org/spreadsheetml/2006/main">
  <c r="F28" i="8" l="1"/>
  <c r="F26" i="8"/>
  <c r="F23" i="8"/>
  <c r="F20" i="8"/>
  <c r="F19" i="8"/>
  <c r="F18" i="8"/>
  <c r="F31" i="8" s="1"/>
  <c r="F29" i="7"/>
  <c r="F23" i="7"/>
  <c r="F20" i="7"/>
  <c r="F27" i="7"/>
  <c r="F26" i="7"/>
  <c r="F28" i="7"/>
  <c r="F24" i="7"/>
  <c r="F18" i="7"/>
  <c r="F24" i="6"/>
  <c r="F18" i="6"/>
  <c r="F31" i="6"/>
  <c r="F30" i="6"/>
  <c r="F29" i="6"/>
  <c r="F28" i="6"/>
  <c r="F26" i="6"/>
  <c r="F23" i="6"/>
  <c r="F20" i="6"/>
  <c r="F28" i="5"/>
  <c r="F18" i="5"/>
  <c r="F30" i="5"/>
  <c r="F29" i="5"/>
  <c r="F27" i="5"/>
  <c r="F25" i="5"/>
  <c r="F24" i="5"/>
  <c r="F20" i="5"/>
  <c r="F31" i="2"/>
  <c r="F30" i="2"/>
  <c r="F29" i="2"/>
  <c r="F28" i="2"/>
  <c r="F26" i="2"/>
  <c r="F24" i="2"/>
  <c r="F23" i="2"/>
  <c r="F20" i="2"/>
  <c r="F18" i="2"/>
  <c r="F28" i="4"/>
  <c r="F18" i="4"/>
  <c r="F20" i="4"/>
  <c r="F30" i="4"/>
  <c r="F29" i="4"/>
  <c r="F27" i="4"/>
  <c r="F25" i="4"/>
  <c r="F24" i="4"/>
  <c r="F30" i="3"/>
  <c r="F29" i="3"/>
  <c r="F28" i="3"/>
  <c r="F27" i="3"/>
  <c r="F25" i="3"/>
  <c r="F24" i="3"/>
  <c r="F20" i="3"/>
  <c r="F19" i="3"/>
  <c r="F18" i="3"/>
  <c r="C31" i="8"/>
  <c r="C13" i="8"/>
  <c r="F12" i="8"/>
  <c r="C31" i="7"/>
  <c r="C13" i="7"/>
  <c r="F12" i="7"/>
  <c r="C33" i="6"/>
  <c r="C13" i="6"/>
  <c r="F12" i="6"/>
  <c r="C32" i="5"/>
  <c r="C13" i="5"/>
  <c r="F12" i="5"/>
  <c r="C32" i="4"/>
  <c r="C13" i="4"/>
  <c r="F12" i="4"/>
  <c r="C32" i="3"/>
  <c r="C13" i="3"/>
  <c r="F12" i="3"/>
  <c r="C33" i="2"/>
  <c r="F32" i="8" l="1"/>
  <c r="F31" i="7"/>
  <c r="F32" i="7" s="1"/>
  <c r="F33" i="6"/>
  <c r="F34" i="6" s="1"/>
  <c r="F32" i="5"/>
  <c r="F33" i="5" s="1"/>
  <c r="F32" i="4"/>
  <c r="F33" i="4" s="1"/>
  <c r="F32" i="3"/>
  <c r="F33" i="3" s="1"/>
  <c r="C13" i="2"/>
  <c r="F33" i="2" l="1"/>
  <c r="F34" i="2" s="1"/>
  <c r="F12" i="2"/>
</calcChain>
</file>

<file path=xl/sharedStrings.xml><?xml version="1.0" encoding="utf-8"?>
<sst xmlns="http://schemas.openxmlformats.org/spreadsheetml/2006/main" count="349" uniqueCount="62">
  <si>
    <t>УТВЕРЖДАЮ:</t>
  </si>
  <si>
    <t>Общая площадь составляет, м2:</t>
  </si>
  <si>
    <t>№п/п</t>
  </si>
  <si>
    <t>Наименование статей доходов</t>
  </si>
  <si>
    <t>Задолженность</t>
  </si>
  <si>
    <t>Начислено</t>
  </si>
  <si>
    <t>Оплачено</t>
  </si>
  <si>
    <t>Жилищные услуги</t>
  </si>
  <si>
    <t>Содержание жилфонда и текущий ремонт, руб.</t>
  </si>
  <si>
    <t>% оплаты населения</t>
  </si>
  <si>
    <t xml:space="preserve">                   Плановый тариф  "Содержание жилья и текущий ремонт"</t>
  </si>
  <si>
    <t>Наименование статей расходов</t>
  </si>
  <si>
    <t>Норматив</t>
  </si>
  <si>
    <t>Расчетный период,</t>
  </si>
  <si>
    <t>Затраты, руб.</t>
  </si>
  <si>
    <t>руб/м2/мес.</t>
  </si>
  <si>
    <t>месяц</t>
  </si>
  <si>
    <t>Материалы (элементы трубопровода,</t>
  </si>
  <si>
    <t>электроды, краска, шпалевка,</t>
  </si>
  <si>
    <t>электроустановочные изделия,</t>
  </si>
  <si>
    <t xml:space="preserve">Текущее обслуживание ОДПУ </t>
  </si>
  <si>
    <t>Работа с должниками (уведомления, госпошлина,</t>
  </si>
  <si>
    <t>судебные издержки)</t>
  </si>
  <si>
    <t>на 01.01.2019</t>
  </si>
  <si>
    <t>ЗАДОЛЖЕННОСТЬ НАСЕЛЕНИЯ за 2019 год, руб.</t>
  </si>
  <si>
    <t>ИТОГО ФАКТИЧЕСКИЕ РАСХОДЫ ПО МКД ЗА 2019 ГОД, РУБ.:</t>
  </si>
  <si>
    <t xml:space="preserve">                                                                                  ОТЧЕТ О НАЧИСЛЕНИЯХ, СБОРАХ И РАСХОДОВАНИИ СРЕДСТВ ЗА 2019 ГОД  </t>
  </si>
  <si>
    <t>Механизированная уборка снега</t>
  </si>
  <si>
    <t>Директор ООО "УК "Содружество"</t>
  </si>
  <si>
    <t>___________________ О.С. Беленченко</t>
  </si>
  <si>
    <t xml:space="preserve">                                                                                     по МКД по адресу: г. Белокуриха, ул. Братьев Ждановых д. 3</t>
  </si>
  <si>
    <t>11,50 руб/м2</t>
  </si>
  <si>
    <t>за 12 мес.</t>
  </si>
  <si>
    <t>кабельная продукция, приборы освещения, лампы накаливания, краны, замки и.т.п.)</t>
  </si>
  <si>
    <t>Инвентарь + малоценное имущество (перчатки, мешки, дезинф и моющ ср-ва и т.д.)</t>
  </si>
  <si>
    <t>Аренда офисного помещения, заработная плата, налоги, услуги банка</t>
  </si>
  <si>
    <t>Выпуск платежных документов (квитанции)+система город</t>
  </si>
  <si>
    <t>Благоустройство придомовой территории (покос травы, осенне-весенняя уборка территории, вывоз веток и мусора и т.д.)</t>
  </si>
  <si>
    <t>Промывка/опрессовка привлеченной техникой и специалистами</t>
  </si>
  <si>
    <t>Фактическая задолженность собственников за 2019 год, руб.( + задолженность, - переплата)</t>
  </si>
  <si>
    <t xml:space="preserve">                                                                                  ОТЧЕТ О НАЧИСЛЕНИЯХ, СБОРАХ И РАСХОДОВАНИИ СРЕДСТВ ЗА 2018-2019 ГОД  </t>
  </si>
  <si>
    <t xml:space="preserve">                                                                                     по МКД по адресу: г. Белокуриха, пер. Спортивный д. 5</t>
  </si>
  <si>
    <t>15 руб/м2</t>
  </si>
  <si>
    <t xml:space="preserve">                                                                                     по МКД по адресу: г. Белокуриха, ул. Ак. Мясникова д. 18</t>
  </si>
  <si>
    <t>9,00 руб/м2</t>
  </si>
  <si>
    <t xml:space="preserve">                                                                                     по МКД по адресу: г. Белокуриха, ул. Ак. Мясникова д. 23/1</t>
  </si>
  <si>
    <t>12,00 руб/м2</t>
  </si>
  <si>
    <t>Механизированная уборка снега+ сброс снега, наледи и сосулей с крыши и козырьков</t>
  </si>
  <si>
    <t>9 мес</t>
  </si>
  <si>
    <t>9мес</t>
  </si>
  <si>
    <t>13 мес</t>
  </si>
  <si>
    <t>10 мес</t>
  </si>
  <si>
    <t>8 мес</t>
  </si>
  <si>
    <t>3 мес</t>
  </si>
  <si>
    <t>3мес</t>
  </si>
  <si>
    <t>Текущие краткосрочные мелкие ремонтные работы+работы по ремонту инженерных систем (общее имущество), аварийные работы</t>
  </si>
  <si>
    <t xml:space="preserve">                                                                                     по МКД по адресу: г. Белокуриха, ул. Бийская д. 11</t>
  </si>
  <si>
    <t>13,00 руб/м2</t>
  </si>
  <si>
    <t>Текущее обслуживание ОДПУ (поверка)</t>
  </si>
  <si>
    <t xml:space="preserve">                                                                                     по МКД по адресу: г. Белокуриха, ул. Набережная д. 1</t>
  </si>
  <si>
    <t>10,00 руб/м2</t>
  </si>
  <si>
    <t xml:space="preserve">                                                                                     по МКД по адресу: г. Белокуриха, ул. Советская д.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</si>
</sst>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8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/>
    <xf numFmtId="4" fontId="4" fillId="2" borderId="2" xfId="1" applyNumberFormat="1" applyFont="1" applyFill="1" applyBorder="1" applyAlignment="1">
      <alignment horizontal="right" vertical="top"/>
    </xf>
    <xf numFmtId="164" fontId="4" fillId="2" borderId="2" xfId="1" applyNumberFormat="1" applyFont="1" applyFill="1" applyBorder="1" applyAlignment="1">
      <alignment horizontal="right" vertical="top"/>
    </xf>
    <xf numFmtId="0" fontId="2" fillId="2" borderId="1" xfId="0" applyFont="1" applyFill="1" applyBorder="1" applyAlignment="1">
      <alignment horizontal="left"/>
    </xf>
    <xf numFmtId="10" fontId="2" fillId="2" borderId="1" xfId="0" applyNumberFormat="1" applyFont="1" applyFill="1" applyBorder="1"/>
    <xf numFmtId="0" fontId="2" fillId="2" borderId="0" xfId="0" applyFont="1" applyFill="1" applyAlignment="1">
      <alignment horizontal="left"/>
    </xf>
    <xf numFmtId="4" fontId="0" fillId="2" borderId="0" xfId="0" applyNumberFormat="1" applyFill="1"/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9" xfId="0" applyFill="1" applyBorder="1"/>
    <xf numFmtId="0" fontId="0" fillId="2" borderId="6" xfId="0" applyFill="1" applyBorder="1"/>
    <xf numFmtId="0" fontId="0" fillId="2" borderId="3" xfId="0" applyFill="1" applyBorder="1" applyAlignment="1">
      <alignment wrapText="1"/>
    </xf>
    <xf numFmtId="0" fontId="0" fillId="2" borderId="1" xfId="0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2" fontId="0" fillId="2" borderId="0" xfId="0" applyNumberFormat="1" applyFill="1"/>
    <xf numFmtId="2" fontId="1" fillId="2" borderId="0" xfId="0" applyNumberFormat="1" applyFont="1" applyFill="1"/>
    <xf numFmtId="2" fontId="2" fillId="2" borderId="1" xfId="0" applyNumberFormat="1" applyFont="1" applyFill="1" applyBorder="1" applyAlignment="1">
      <alignment horizontal="center"/>
    </xf>
    <xf numFmtId="2" fontId="1" fillId="2" borderId="1" xfId="0" applyNumberFormat="1" applyFont="1" applyFill="1" applyBorder="1"/>
    <xf numFmtId="2" fontId="4" fillId="2" borderId="2" xfId="1" applyNumberFormat="1" applyFont="1" applyFill="1" applyBorder="1" applyAlignment="1">
      <alignment horizontal="right" vertical="top"/>
    </xf>
    <xf numFmtId="2" fontId="2" fillId="2" borderId="1" xfId="0" applyNumberFormat="1" applyFont="1" applyFill="1" applyBorder="1"/>
    <xf numFmtId="2" fontId="1" fillId="2" borderId="5" xfId="0" applyNumberFormat="1" applyFont="1" applyFill="1" applyBorder="1"/>
    <xf numFmtId="2" fontId="1" fillId="2" borderId="8" xfId="0" applyNumberFormat="1" applyFont="1" applyFill="1" applyBorder="1"/>
    <xf numFmtId="2" fontId="0" fillId="2" borderId="10" xfId="0" applyNumberFormat="1" applyFill="1" applyBorder="1"/>
    <xf numFmtId="2" fontId="0" fillId="2" borderId="8" xfId="0" applyNumberFormat="1" applyFill="1" applyBorder="1"/>
    <xf numFmtId="2" fontId="0" fillId="2" borderId="5" xfId="0" applyNumberFormat="1" applyFill="1" applyBorder="1"/>
    <xf numFmtId="2" fontId="0" fillId="2" borderId="1" xfId="0" applyNumberFormat="1" applyFill="1" applyBorder="1"/>
    <xf numFmtId="2" fontId="6" fillId="2" borderId="6" xfId="0" applyNumberFormat="1" applyFont="1" applyFill="1" applyBorder="1"/>
    <xf numFmtId="0" fontId="0" fillId="2" borderId="6" xfId="0" applyFill="1" applyBorder="1" applyAlignment="1">
      <alignment vertical="justify"/>
    </xf>
    <xf numFmtId="0" fontId="0" fillId="2" borderId="11" xfId="0" applyFill="1" applyBorder="1" applyAlignment="1">
      <alignment vertical="justify"/>
    </xf>
    <xf numFmtId="0" fontId="5" fillId="2" borderId="6" xfId="0" applyFont="1" applyFill="1" applyBorder="1" applyAlignment="1">
      <alignment vertical="justify"/>
    </xf>
    <xf numFmtId="2" fontId="5" fillId="2" borderId="13" xfId="0" applyNumberFormat="1" applyFont="1" applyFill="1" applyBorder="1"/>
    <xf numFmtId="0" fontId="5" fillId="2" borderId="1" xfId="0" applyFont="1" applyFill="1" applyBorder="1"/>
    <xf numFmtId="0" fontId="5" fillId="2" borderId="12" xfId="0" applyFont="1" applyFill="1" applyBorder="1"/>
    <xf numFmtId="2" fontId="5" fillId="2" borderId="12" xfId="0" applyNumberFormat="1" applyFont="1" applyFill="1" applyBorder="1"/>
    <xf numFmtId="14" fontId="2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vertical="justify"/>
    </xf>
    <xf numFmtId="0" fontId="2" fillId="2" borderId="1" xfId="0" applyFont="1" applyFill="1" applyBorder="1" applyAlignment="1">
      <alignment horizontal="left" vertical="justify"/>
    </xf>
    <xf numFmtId="0" fontId="0" fillId="2" borderId="3" xfId="0" applyFill="1" applyBorder="1" applyAlignment="1">
      <alignment horizontal="right"/>
    </xf>
    <xf numFmtId="0" fontId="0" fillId="2" borderId="6" xfId="0" applyFill="1" applyBorder="1" applyAlignment="1">
      <alignment horizontal="right"/>
    </xf>
    <xf numFmtId="0" fontId="0" fillId="2" borderId="3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2" fontId="0" fillId="2" borderId="3" xfId="0" applyNumberFormat="1" applyFill="1" applyBorder="1" applyAlignment="1">
      <alignment horizontal="right"/>
    </xf>
    <xf numFmtId="2" fontId="0" fillId="2" borderId="6" xfId="0" applyNumberFormat="1" applyFill="1" applyBorder="1" applyAlignment="1">
      <alignment horizontal="right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3" xfId="0" applyFill="1" applyBorder="1" applyAlignment="1">
      <alignment horizontal="right" vertical="center"/>
    </xf>
    <xf numFmtId="0" fontId="0" fillId="2" borderId="6" xfId="0" applyFill="1" applyBorder="1" applyAlignment="1">
      <alignment horizontal="right" vertical="center"/>
    </xf>
    <xf numFmtId="0" fontId="0" fillId="2" borderId="3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2" fontId="0" fillId="2" borderId="3" xfId="0" applyNumberFormat="1" applyFill="1" applyBorder="1" applyAlignment="1">
      <alignment horizontal="right" vertical="center"/>
    </xf>
    <xf numFmtId="2" fontId="0" fillId="2" borderId="6" xfId="0" applyNumberFormat="1" applyFill="1" applyBorder="1" applyAlignment="1">
      <alignment horizontal="right" vertical="center"/>
    </xf>
  </cellXfs>
  <cellStyles count="2">
    <cellStyle name="Обычный" xfId="0" builtinId="0"/>
    <cellStyle name="Обычный_Садовая 15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A1:G34"/>
  <sheetViews>
    <sheetView workbookViewId="0">
      <selection activeCell="B18" sqref="B18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40</v>
      </c>
      <c r="C5" s="3"/>
      <c r="D5" s="3"/>
      <c r="E5" s="4"/>
      <c r="F5" s="32"/>
    </row>
    <row r="6" spans="1:7" s="1" customFormat="1" x14ac:dyDescent="0.25">
      <c r="A6" s="2"/>
      <c r="B6" s="3" t="s">
        <v>41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1460.2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51">
        <v>43435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273944.125</v>
      </c>
      <c r="E10" s="35">
        <v>211179.5</v>
      </c>
      <c r="F10" s="35">
        <v>62764.63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62764.63</v>
      </c>
    </row>
    <row r="13" spans="1:7" s="1" customFormat="1" x14ac:dyDescent="0.25">
      <c r="A13" s="7"/>
      <c r="B13" s="11" t="s">
        <v>9</v>
      </c>
      <c r="C13" s="12">
        <f>E10/(C10+D10)</f>
        <v>0.77088530370928743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42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2.02</v>
      </c>
      <c r="D18" s="30" t="s">
        <v>50</v>
      </c>
      <c r="E18" s="7"/>
      <c r="F18" s="34">
        <f>2.02*13*1460.2</f>
        <v>38344.852000000006</v>
      </c>
    </row>
    <row r="19" spans="1:6" s="1" customFormat="1" ht="24" x14ac:dyDescent="0.25">
      <c r="A19" s="8"/>
      <c r="B19" s="53" t="s">
        <v>47</v>
      </c>
      <c r="C19" s="29">
        <v>0.52</v>
      </c>
      <c r="D19" s="30" t="s">
        <v>50</v>
      </c>
      <c r="E19" s="7"/>
      <c r="F19" s="34">
        <f>0.52*13*1460.2</f>
        <v>9870.9519999999993</v>
      </c>
    </row>
    <row r="20" spans="1:6" s="1" customFormat="1" x14ac:dyDescent="0.25">
      <c r="A20" s="23"/>
      <c r="B20" s="25" t="s">
        <v>17</v>
      </c>
      <c r="C20" s="25">
        <v>0.91</v>
      </c>
      <c r="D20" s="25" t="s">
        <v>50</v>
      </c>
      <c r="E20" s="25"/>
      <c r="F20" s="39">
        <f>0.91*13*1460.2</f>
        <v>17274.166000000001</v>
      </c>
    </row>
    <row r="21" spans="1:6" s="1" customFormat="1" x14ac:dyDescent="0.25">
      <c r="A21" s="25"/>
      <c r="B21" s="25" t="s">
        <v>18</v>
      </c>
      <c r="C21" s="25"/>
      <c r="D21" s="25"/>
      <c r="E21" s="25"/>
      <c r="F21" s="39"/>
    </row>
    <row r="22" spans="1:6" s="1" customFormat="1" x14ac:dyDescent="0.25">
      <c r="A22" s="25"/>
      <c r="B22" s="25" t="s">
        <v>19</v>
      </c>
      <c r="C22" s="25"/>
      <c r="D22" s="25"/>
      <c r="E22" s="25"/>
      <c r="F22" s="39"/>
    </row>
    <row r="23" spans="1:6" s="1" customFormat="1" ht="30" x14ac:dyDescent="0.25">
      <c r="A23" s="26"/>
      <c r="B23" s="44" t="s">
        <v>33</v>
      </c>
      <c r="C23" s="26"/>
      <c r="D23" s="26"/>
      <c r="E23" s="26"/>
      <c r="F23" s="40"/>
    </row>
    <row r="24" spans="1:6" s="1" customFormat="1" ht="30" x14ac:dyDescent="0.25">
      <c r="A24" s="23"/>
      <c r="B24" s="52" t="s">
        <v>34</v>
      </c>
      <c r="C24" s="23">
        <v>0.5</v>
      </c>
      <c r="D24" s="23" t="s">
        <v>50</v>
      </c>
      <c r="E24" s="24"/>
      <c r="F24" s="41">
        <f>0.5*13*1460.2</f>
        <v>9491.3000000000011</v>
      </c>
    </row>
    <row r="25" spans="1:6" s="1" customFormat="1" x14ac:dyDescent="0.25">
      <c r="A25" s="23"/>
      <c r="B25" s="25" t="s">
        <v>21</v>
      </c>
      <c r="C25" s="54">
        <v>0.3</v>
      </c>
      <c r="D25" s="56" t="s">
        <v>50</v>
      </c>
      <c r="E25" s="23"/>
      <c r="F25" s="58">
        <f>0.3*13*1460.2</f>
        <v>5694.78</v>
      </c>
    </row>
    <row r="26" spans="1:6" s="1" customFormat="1" x14ac:dyDescent="0.25">
      <c r="A26" s="26"/>
      <c r="B26" s="26" t="s">
        <v>22</v>
      </c>
      <c r="C26" s="55"/>
      <c r="D26" s="57"/>
      <c r="E26" s="26"/>
      <c r="F26" s="59"/>
    </row>
    <row r="27" spans="1:6" s="1" customFormat="1" ht="30" x14ac:dyDescent="0.25">
      <c r="A27" s="23"/>
      <c r="B27" s="27" t="s">
        <v>37</v>
      </c>
      <c r="C27" s="23">
        <v>0.12</v>
      </c>
      <c r="D27" s="23" t="s">
        <v>50</v>
      </c>
      <c r="E27" s="23"/>
      <c r="F27" s="41">
        <f>0.12*13*1460.2</f>
        <v>2277.9120000000003</v>
      </c>
    </row>
    <row r="28" spans="1:6" s="1" customFormat="1" x14ac:dyDescent="0.25">
      <c r="A28" s="23"/>
      <c r="B28" s="28" t="s">
        <v>38</v>
      </c>
      <c r="C28" s="28">
        <v>0.85</v>
      </c>
      <c r="D28" s="28" t="s">
        <v>50</v>
      </c>
      <c r="E28" s="28"/>
      <c r="F28" s="42">
        <f>0.85*13*1460.2</f>
        <v>16135.21</v>
      </c>
    </row>
    <row r="29" spans="1:6" s="1" customFormat="1" x14ac:dyDescent="0.25">
      <c r="A29" s="23"/>
      <c r="B29" s="27" t="s">
        <v>36</v>
      </c>
      <c r="C29" s="23">
        <v>0.7</v>
      </c>
      <c r="D29" s="23" t="s">
        <v>50</v>
      </c>
      <c r="E29" s="23"/>
      <c r="F29" s="41">
        <f>0.7*13*1460.2</f>
        <v>13287.82</v>
      </c>
    </row>
    <row r="30" spans="1:6" s="1" customFormat="1" x14ac:dyDescent="0.25">
      <c r="A30" s="28"/>
      <c r="B30" s="28" t="s">
        <v>35</v>
      </c>
      <c r="C30" s="28">
        <v>6.5</v>
      </c>
      <c r="D30" s="28" t="s">
        <v>50</v>
      </c>
      <c r="E30" s="28"/>
      <c r="F30" s="42">
        <f>6.5*13*1460.2</f>
        <v>123386.90000000001</v>
      </c>
    </row>
    <row r="31" spans="1:6" s="1" customFormat="1" x14ac:dyDescent="0.25">
      <c r="A31" s="28"/>
      <c r="B31" s="28"/>
      <c r="C31" s="28"/>
      <c r="D31" s="28"/>
      <c r="E31" s="28"/>
      <c r="F31" s="42"/>
    </row>
    <row r="32" spans="1:6" s="1" customFormat="1" x14ac:dyDescent="0.25">
      <c r="A32" s="47"/>
      <c r="B32" s="48" t="s">
        <v>25</v>
      </c>
      <c r="C32" s="49">
        <f>SUM(C18:C31)</f>
        <v>12.42</v>
      </c>
      <c r="D32" s="48"/>
      <c r="E32" s="49"/>
      <c r="F32" s="50">
        <f>SUM(F18:F31)</f>
        <v>235763.89199999999</v>
      </c>
    </row>
    <row r="33" spans="1:6" s="1" customFormat="1" ht="25.5" x14ac:dyDescent="0.25">
      <c r="A33" s="26"/>
      <c r="B33" s="46" t="s">
        <v>39</v>
      </c>
      <c r="C33" s="26"/>
      <c r="D33" s="26"/>
      <c r="E33" s="26"/>
      <c r="F33" s="43">
        <f>F32+C10-E10</f>
        <v>24584.391999999993</v>
      </c>
    </row>
    <row r="34" spans="1:6" s="1" customFormat="1" x14ac:dyDescent="0.25">
      <c r="A34" s="28"/>
      <c r="B34" s="28"/>
      <c r="C34" s="28"/>
      <c r="D34" s="28"/>
      <c r="E34" s="28"/>
      <c r="F34" s="42"/>
    </row>
  </sheetData>
  <mergeCells count="3">
    <mergeCell ref="C25:C26"/>
    <mergeCell ref="D25:D26"/>
    <mergeCell ref="F25:F2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Лист2"/>
  <dimension ref="A1:G34"/>
  <sheetViews>
    <sheetView topLeftCell="A13" workbookViewId="0">
      <selection activeCell="B18" sqref="B18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45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2697.7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314879.65999999997</v>
      </c>
      <c r="E10" s="35">
        <v>257698.56</v>
      </c>
      <c r="F10" s="35">
        <v>57181.1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57181.1</v>
      </c>
    </row>
    <row r="13" spans="1:7" s="1" customFormat="1" x14ac:dyDescent="0.25">
      <c r="A13" s="7"/>
      <c r="B13" s="11" t="s">
        <v>9</v>
      </c>
      <c r="C13" s="12">
        <f>E10/(C10+D10)</f>
        <v>0.81840332271700245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46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2.5</v>
      </c>
      <c r="D18" s="30" t="s">
        <v>48</v>
      </c>
      <c r="E18" s="7"/>
      <c r="F18" s="34">
        <f>2.5*9*2697.7</f>
        <v>60698.249999999993</v>
      </c>
    </row>
    <row r="19" spans="1:6" s="1" customFormat="1" x14ac:dyDescent="0.25">
      <c r="A19" s="8"/>
      <c r="B19" s="11" t="s">
        <v>27</v>
      </c>
      <c r="C19" s="29">
        <v>0</v>
      </c>
      <c r="D19" s="30" t="s">
        <v>48</v>
      </c>
      <c r="E19" s="7"/>
      <c r="F19" s="34">
        <v>0</v>
      </c>
    </row>
    <row r="20" spans="1:6" s="1" customFormat="1" x14ac:dyDescent="0.25">
      <c r="A20" s="23"/>
      <c r="B20" s="25" t="s">
        <v>17</v>
      </c>
      <c r="C20" s="25">
        <v>1.42</v>
      </c>
      <c r="D20" s="25" t="s">
        <v>48</v>
      </c>
      <c r="E20" s="25"/>
      <c r="F20" s="39">
        <f>1.42*9*2697.7</f>
        <v>34476.605999999992</v>
      </c>
    </row>
    <row r="21" spans="1:6" s="1" customFormat="1" x14ac:dyDescent="0.25">
      <c r="A21" s="25"/>
      <c r="B21" s="25" t="s">
        <v>18</v>
      </c>
      <c r="C21" s="25"/>
      <c r="D21" s="25"/>
      <c r="E21" s="25"/>
      <c r="F21" s="39"/>
    </row>
    <row r="22" spans="1:6" s="1" customFormat="1" x14ac:dyDescent="0.25">
      <c r="A22" s="25"/>
      <c r="B22" s="25" t="s">
        <v>19</v>
      </c>
      <c r="C22" s="25"/>
      <c r="D22" s="25"/>
      <c r="E22" s="25"/>
      <c r="F22" s="39"/>
    </row>
    <row r="23" spans="1:6" s="1" customFormat="1" ht="30" x14ac:dyDescent="0.25">
      <c r="A23" s="26"/>
      <c r="B23" s="44" t="s">
        <v>33</v>
      </c>
      <c r="C23" s="26"/>
      <c r="D23" s="26"/>
      <c r="E23" s="26"/>
      <c r="F23" s="40"/>
    </row>
    <row r="24" spans="1:6" s="1" customFormat="1" ht="30" x14ac:dyDescent="0.25">
      <c r="A24" s="23"/>
      <c r="B24" s="52" t="s">
        <v>34</v>
      </c>
      <c r="C24" s="23">
        <v>0.31</v>
      </c>
      <c r="D24" s="23" t="s">
        <v>48</v>
      </c>
      <c r="E24" s="24"/>
      <c r="F24" s="41">
        <f>0.31*9*2697.7</f>
        <v>7526.5829999999996</v>
      </c>
    </row>
    <row r="25" spans="1:6" s="1" customFormat="1" x14ac:dyDescent="0.25">
      <c r="A25" s="23"/>
      <c r="B25" s="25" t="s">
        <v>21</v>
      </c>
      <c r="C25" s="54">
        <v>0.3</v>
      </c>
      <c r="D25" s="56" t="s">
        <v>48</v>
      </c>
      <c r="E25" s="23"/>
      <c r="F25" s="58">
        <f>0.3*9*2697.7</f>
        <v>7283.7899999999991</v>
      </c>
    </row>
    <row r="26" spans="1:6" s="1" customFormat="1" x14ac:dyDescent="0.25">
      <c r="A26" s="26"/>
      <c r="B26" s="26" t="s">
        <v>22</v>
      </c>
      <c r="C26" s="55"/>
      <c r="D26" s="57"/>
      <c r="E26" s="26"/>
      <c r="F26" s="59"/>
    </row>
    <row r="27" spans="1:6" s="1" customFormat="1" ht="30" x14ac:dyDescent="0.25">
      <c r="A27" s="23"/>
      <c r="B27" s="27" t="s">
        <v>37</v>
      </c>
      <c r="C27" s="23">
        <v>0.2</v>
      </c>
      <c r="D27" s="23" t="s">
        <v>48</v>
      </c>
      <c r="E27" s="23"/>
      <c r="F27" s="41">
        <f>0.2*9*2697.7</f>
        <v>4855.8599999999997</v>
      </c>
    </row>
    <row r="28" spans="1:6" s="1" customFormat="1" x14ac:dyDescent="0.25">
      <c r="A28" s="23"/>
      <c r="B28" s="28" t="s">
        <v>38</v>
      </c>
      <c r="C28" s="28">
        <v>0.75</v>
      </c>
      <c r="D28" s="28" t="s">
        <v>48</v>
      </c>
      <c r="E28" s="28"/>
      <c r="F28" s="42">
        <f>0.75*9*2697.7</f>
        <v>18209.474999999999</v>
      </c>
    </row>
    <row r="29" spans="1:6" s="1" customFormat="1" x14ac:dyDescent="0.25">
      <c r="A29" s="23"/>
      <c r="B29" s="27" t="s">
        <v>36</v>
      </c>
      <c r="C29" s="23">
        <v>0.44</v>
      </c>
      <c r="D29" s="23" t="s">
        <v>49</v>
      </c>
      <c r="E29" s="23"/>
      <c r="F29" s="41">
        <f>0.44*9*2697.7</f>
        <v>10682.892</v>
      </c>
    </row>
    <row r="30" spans="1:6" s="1" customFormat="1" x14ac:dyDescent="0.25">
      <c r="A30" s="28"/>
      <c r="B30" s="28" t="s">
        <v>35</v>
      </c>
      <c r="C30" s="28">
        <v>5.13</v>
      </c>
      <c r="D30" s="28" t="s">
        <v>48</v>
      </c>
      <c r="E30" s="28"/>
      <c r="F30" s="42">
        <f>5.13*9*2697.7</f>
        <v>124552.80899999999</v>
      </c>
    </row>
    <row r="31" spans="1:6" s="1" customFormat="1" x14ac:dyDescent="0.25">
      <c r="A31" s="28"/>
      <c r="B31" s="28"/>
      <c r="C31" s="28"/>
      <c r="D31" s="28"/>
      <c r="E31" s="28"/>
      <c r="F31" s="42"/>
    </row>
    <row r="32" spans="1:6" s="1" customFormat="1" x14ac:dyDescent="0.25">
      <c r="A32" s="47"/>
      <c r="B32" s="48" t="s">
        <v>25</v>
      </c>
      <c r="C32" s="49">
        <f>SUM(C18:C31)</f>
        <v>11.05</v>
      </c>
      <c r="D32" s="48"/>
      <c r="E32" s="49"/>
      <c r="F32" s="50">
        <f>SUM(F18:F31)</f>
        <v>268286.26499999996</v>
      </c>
    </row>
    <row r="33" spans="1:6" s="1" customFormat="1" ht="25.5" x14ac:dyDescent="0.25">
      <c r="A33" s="26"/>
      <c r="B33" s="46" t="s">
        <v>39</v>
      </c>
      <c r="C33" s="26"/>
      <c r="D33" s="26"/>
      <c r="E33" s="26"/>
      <c r="F33" s="43">
        <f>F32+C10-E10</f>
        <v>10587.704999999958</v>
      </c>
    </row>
    <row r="34" spans="1:6" s="1" customFormat="1" x14ac:dyDescent="0.25">
      <c r="A34" s="28"/>
      <c r="B34" s="28"/>
      <c r="C34" s="28"/>
      <c r="D34" s="28"/>
      <c r="E34" s="28"/>
      <c r="F34" s="42"/>
    </row>
  </sheetData>
  <mergeCells count="3">
    <mergeCell ref="C25:C26"/>
    <mergeCell ref="D25:D26"/>
    <mergeCell ref="F25:F2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Лист3"/>
  <dimension ref="A1:G34"/>
  <sheetViews>
    <sheetView topLeftCell="A7" workbookViewId="0">
      <selection activeCell="B18" sqref="B18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43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4350.1000000000004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397060.8</v>
      </c>
      <c r="E10" s="35">
        <v>369784.31</v>
      </c>
      <c r="F10" s="35">
        <v>27276.49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27276.49</v>
      </c>
    </row>
    <row r="13" spans="1:7" s="1" customFormat="1" x14ac:dyDescent="0.25">
      <c r="A13" s="7"/>
      <c r="B13" s="11" t="s">
        <v>9</v>
      </c>
      <c r="C13" s="12">
        <f>E10/(C10+D10)</f>
        <v>0.93130399676825315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44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1</v>
      </c>
      <c r="D18" s="30" t="s">
        <v>51</v>
      </c>
      <c r="E18" s="7"/>
      <c r="F18" s="34">
        <f>1*10*4350.1</f>
        <v>43501</v>
      </c>
    </row>
    <row r="19" spans="1:6" s="1" customFormat="1" x14ac:dyDescent="0.25">
      <c r="A19" s="8"/>
      <c r="B19" s="11" t="s">
        <v>27</v>
      </c>
      <c r="C19" s="29">
        <v>0</v>
      </c>
      <c r="D19" s="30" t="s">
        <v>51</v>
      </c>
      <c r="E19" s="7"/>
      <c r="F19" s="34">
        <v>0</v>
      </c>
    </row>
    <row r="20" spans="1:6" s="1" customFormat="1" x14ac:dyDescent="0.25">
      <c r="A20" s="23"/>
      <c r="B20" s="25" t="s">
        <v>17</v>
      </c>
      <c r="C20" s="25">
        <v>1.43</v>
      </c>
      <c r="D20" s="25" t="s">
        <v>51</v>
      </c>
      <c r="E20" s="25"/>
      <c r="F20" s="39">
        <f>1.43*10*4350.1</f>
        <v>62206.43</v>
      </c>
    </row>
    <row r="21" spans="1:6" s="1" customFormat="1" x14ac:dyDescent="0.25">
      <c r="A21" s="25"/>
      <c r="B21" s="25" t="s">
        <v>18</v>
      </c>
      <c r="C21" s="25"/>
      <c r="D21" s="25"/>
      <c r="E21" s="25"/>
      <c r="F21" s="39"/>
    </row>
    <row r="22" spans="1:6" s="1" customFormat="1" x14ac:dyDescent="0.25">
      <c r="A22" s="25"/>
      <c r="B22" s="25" t="s">
        <v>19</v>
      </c>
      <c r="C22" s="25"/>
      <c r="D22" s="25"/>
      <c r="E22" s="25"/>
      <c r="F22" s="39"/>
    </row>
    <row r="23" spans="1:6" s="1" customFormat="1" ht="30" x14ac:dyDescent="0.25">
      <c r="A23" s="26"/>
      <c r="B23" s="44" t="s">
        <v>33</v>
      </c>
      <c r="C23" s="26"/>
      <c r="D23" s="26"/>
      <c r="E23" s="26"/>
      <c r="F23" s="40"/>
    </row>
    <row r="24" spans="1:6" s="1" customFormat="1" ht="30" x14ac:dyDescent="0.25">
      <c r="A24" s="23"/>
      <c r="B24" s="52" t="s">
        <v>34</v>
      </c>
      <c r="C24" s="23">
        <v>0.31</v>
      </c>
      <c r="D24" s="23" t="s">
        <v>51</v>
      </c>
      <c r="E24" s="24"/>
      <c r="F24" s="41">
        <f>0.31*10*4350.1</f>
        <v>13485.310000000001</v>
      </c>
    </row>
    <row r="25" spans="1:6" s="1" customFormat="1" x14ac:dyDescent="0.25">
      <c r="A25" s="23"/>
      <c r="B25" s="25" t="s">
        <v>21</v>
      </c>
      <c r="C25" s="54">
        <v>0.3</v>
      </c>
      <c r="D25" s="56" t="s">
        <v>51</v>
      </c>
      <c r="E25" s="23"/>
      <c r="F25" s="58">
        <f>0.3*10*4350.1</f>
        <v>13050.300000000001</v>
      </c>
    </row>
    <row r="26" spans="1:6" s="1" customFormat="1" x14ac:dyDescent="0.25">
      <c r="A26" s="26"/>
      <c r="B26" s="26" t="s">
        <v>22</v>
      </c>
      <c r="C26" s="55"/>
      <c r="D26" s="57"/>
      <c r="E26" s="26"/>
      <c r="F26" s="59"/>
    </row>
    <row r="27" spans="1:6" s="1" customFormat="1" ht="30" x14ac:dyDescent="0.25">
      <c r="A27" s="23"/>
      <c r="B27" s="27" t="s">
        <v>37</v>
      </c>
      <c r="C27" s="23">
        <v>0.2</v>
      </c>
      <c r="D27" s="23" t="s">
        <v>51</v>
      </c>
      <c r="E27" s="23"/>
      <c r="F27" s="41">
        <f>0.2*10*4350.1</f>
        <v>8700.2000000000007</v>
      </c>
    </row>
    <row r="28" spans="1:6" s="1" customFormat="1" x14ac:dyDescent="0.25">
      <c r="A28" s="23"/>
      <c r="B28" s="28" t="s">
        <v>38</v>
      </c>
      <c r="C28" s="28">
        <v>0.6</v>
      </c>
      <c r="D28" s="28" t="s">
        <v>51</v>
      </c>
      <c r="E28" s="28"/>
      <c r="F28" s="42">
        <f>0.6*10*4350.1</f>
        <v>26100.600000000002</v>
      </c>
    </row>
    <row r="29" spans="1:6" s="1" customFormat="1" x14ac:dyDescent="0.25">
      <c r="A29" s="23"/>
      <c r="B29" s="27" t="s">
        <v>36</v>
      </c>
      <c r="C29" s="23">
        <v>0.34</v>
      </c>
      <c r="D29" s="23" t="s">
        <v>51</v>
      </c>
      <c r="E29" s="23"/>
      <c r="F29" s="41">
        <f>0.34*10*4350.1</f>
        <v>14790.340000000002</v>
      </c>
    </row>
    <row r="30" spans="1:6" s="1" customFormat="1" x14ac:dyDescent="0.25">
      <c r="A30" s="28"/>
      <c r="B30" s="28" t="s">
        <v>35</v>
      </c>
      <c r="C30" s="28">
        <v>4.5</v>
      </c>
      <c r="D30" s="28" t="s">
        <v>51</v>
      </c>
      <c r="E30" s="28"/>
      <c r="F30" s="42">
        <f>4.5*10*4350.1</f>
        <v>195754.50000000003</v>
      </c>
    </row>
    <row r="31" spans="1:6" s="1" customFormat="1" x14ac:dyDescent="0.25">
      <c r="A31" s="28"/>
      <c r="B31" s="28"/>
      <c r="C31" s="28"/>
      <c r="D31" s="28"/>
      <c r="E31" s="28"/>
      <c r="F31" s="42"/>
    </row>
    <row r="32" spans="1:6" s="1" customFormat="1" x14ac:dyDescent="0.25">
      <c r="A32" s="47"/>
      <c r="B32" s="48" t="s">
        <v>25</v>
      </c>
      <c r="C32" s="49">
        <f>SUM(C18:C31)</f>
        <v>8.68</v>
      </c>
      <c r="D32" s="48"/>
      <c r="E32" s="49"/>
      <c r="F32" s="50">
        <f>SUM(F18:F31)</f>
        <v>377588.68000000005</v>
      </c>
    </row>
    <row r="33" spans="1:6" s="1" customFormat="1" ht="25.5" x14ac:dyDescent="0.25">
      <c r="A33" s="26"/>
      <c r="B33" s="46" t="s">
        <v>39</v>
      </c>
      <c r="C33" s="26"/>
      <c r="D33" s="26"/>
      <c r="E33" s="26"/>
      <c r="F33" s="43">
        <f>F32+C10-E10</f>
        <v>7804.3700000000536</v>
      </c>
    </row>
    <row r="34" spans="1:6" s="1" customFormat="1" x14ac:dyDescent="0.25">
      <c r="A34" s="28"/>
      <c r="B34" s="28"/>
      <c r="C34" s="28"/>
      <c r="D34" s="28"/>
      <c r="E34" s="28"/>
      <c r="F34" s="42"/>
    </row>
  </sheetData>
  <mergeCells count="3">
    <mergeCell ref="C25:C26"/>
    <mergeCell ref="D25:D26"/>
    <mergeCell ref="F25:F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Лист4"/>
  <dimension ref="A1:G35"/>
  <sheetViews>
    <sheetView topLeftCell="A16" workbookViewId="0">
      <selection activeCell="B18" sqref="B18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56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2842.4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335898.8</v>
      </c>
      <c r="E10" s="35">
        <v>232240.85</v>
      </c>
      <c r="F10" s="35">
        <v>103657.95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103657.95</v>
      </c>
    </row>
    <row r="13" spans="1:7" s="1" customFormat="1" x14ac:dyDescent="0.25">
      <c r="A13" s="7"/>
      <c r="B13" s="11" t="s">
        <v>9</v>
      </c>
      <c r="C13" s="12">
        <f>E10/(C10+D10)</f>
        <v>0.69140124942393366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57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2</v>
      </c>
      <c r="D18" s="30" t="s">
        <v>52</v>
      </c>
      <c r="E18" s="7"/>
      <c r="F18" s="34">
        <f>2*8*2842.4</f>
        <v>45478.400000000001</v>
      </c>
    </row>
    <row r="19" spans="1:6" s="1" customFormat="1" x14ac:dyDescent="0.25">
      <c r="A19" s="8"/>
      <c r="B19" s="11" t="s">
        <v>27</v>
      </c>
      <c r="C19" s="29">
        <v>0</v>
      </c>
      <c r="D19" s="30" t="s">
        <v>52</v>
      </c>
      <c r="E19" s="7"/>
      <c r="F19" s="34">
        <v>0</v>
      </c>
    </row>
    <row r="20" spans="1:6" s="1" customFormat="1" x14ac:dyDescent="0.25">
      <c r="A20" s="23"/>
      <c r="B20" s="25" t="s">
        <v>17</v>
      </c>
      <c r="C20" s="25">
        <v>1.5</v>
      </c>
      <c r="D20" s="25" t="s">
        <v>52</v>
      </c>
      <c r="E20" s="25"/>
      <c r="F20" s="39">
        <f>1.5*8*2842.4</f>
        <v>34108.800000000003</v>
      </c>
    </row>
    <row r="21" spans="1:6" s="1" customFormat="1" x14ac:dyDescent="0.25">
      <c r="A21" s="25"/>
      <c r="B21" s="25" t="s">
        <v>19</v>
      </c>
      <c r="C21" s="25"/>
      <c r="D21" s="25"/>
      <c r="E21" s="25"/>
      <c r="F21" s="39"/>
    </row>
    <row r="22" spans="1:6" s="1" customFormat="1" ht="30" x14ac:dyDescent="0.25">
      <c r="A22" s="26"/>
      <c r="B22" s="44" t="s">
        <v>33</v>
      </c>
      <c r="C22" s="26"/>
      <c r="D22" s="26"/>
      <c r="E22" s="26"/>
      <c r="F22" s="40"/>
    </row>
    <row r="23" spans="1:6" s="1" customFormat="1" ht="30" x14ac:dyDescent="0.25">
      <c r="A23" s="23"/>
      <c r="B23" s="45" t="s">
        <v>34</v>
      </c>
      <c r="C23" s="23">
        <v>0.5</v>
      </c>
      <c r="D23" s="23" t="s">
        <v>52</v>
      </c>
      <c r="E23" s="24"/>
      <c r="F23" s="41">
        <f>0.5*8*2842.4</f>
        <v>11369.6</v>
      </c>
    </row>
    <row r="24" spans="1:6" s="1" customFormat="1" x14ac:dyDescent="0.25">
      <c r="A24" s="23"/>
      <c r="B24" s="60" t="s">
        <v>58</v>
      </c>
      <c r="C24" s="62">
        <v>0.8</v>
      </c>
      <c r="D24" s="60" t="s">
        <v>52</v>
      </c>
      <c r="E24" s="64"/>
      <c r="F24" s="66">
        <f>0.8*8*2842.4</f>
        <v>18191.36</v>
      </c>
    </row>
    <row r="25" spans="1:6" s="1" customFormat="1" x14ac:dyDescent="0.25">
      <c r="A25" s="26"/>
      <c r="B25" s="61"/>
      <c r="C25" s="63"/>
      <c r="D25" s="61"/>
      <c r="E25" s="65"/>
      <c r="F25" s="67"/>
    </row>
    <row r="26" spans="1:6" s="1" customFormat="1" x14ac:dyDescent="0.25">
      <c r="A26" s="23"/>
      <c r="B26" s="25" t="s">
        <v>21</v>
      </c>
      <c r="C26" s="54">
        <v>0.3</v>
      </c>
      <c r="D26" s="56" t="s">
        <v>52</v>
      </c>
      <c r="E26" s="23"/>
      <c r="F26" s="58">
        <f>0.3*8*2842.4</f>
        <v>6821.76</v>
      </c>
    </row>
    <row r="27" spans="1:6" s="1" customFormat="1" x14ac:dyDescent="0.25">
      <c r="A27" s="26"/>
      <c r="B27" s="26" t="s">
        <v>22</v>
      </c>
      <c r="C27" s="55"/>
      <c r="D27" s="57"/>
      <c r="E27" s="26"/>
      <c r="F27" s="59"/>
    </row>
    <row r="28" spans="1:6" s="1" customFormat="1" ht="30" x14ac:dyDescent="0.25">
      <c r="A28" s="23"/>
      <c r="B28" s="27" t="s">
        <v>37</v>
      </c>
      <c r="C28" s="23">
        <v>0.12</v>
      </c>
      <c r="D28" s="23" t="s">
        <v>52</v>
      </c>
      <c r="E28" s="23"/>
      <c r="F28" s="41">
        <f>0.12*8*2842.4</f>
        <v>2728.7040000000002</v>
      </c>
    </row>
    <row r="29" spans="1:6" s="1" customFormat="1" x14ac:dyDescent="0.25">
      <c r="A29" s="23"/>
      <c r="B29" s="28" t="s">
        <v>38</v>
      </c>
      <c r="C29" s="28">
        <v>0.5</v>
      </c>
      <c r="D29" s="28" t="s">
        <v>52</v>
      </c>
      <c r="E29" s="28"/>
      <c r="F29" s="42">
        <f>0.5*8*2842.4</f>
        <v>11369.6</v>
      </c>
    </row>
    <row r="30" spans="1:6" s="1" customFormat="1" x14ac:dyDescent="0.25">
      <c r="A30" s="23"/>
      <c r="B30" s="27" t="s">
        <v>36</v>
      </c>
      <c r="C30" s="23">
        <v>0.43</v>
      </c>
      <c r="D30" s="23" t="s">
        <v>52</v>
      </c>
      <c r="E30" s="23"/>
      <c r="F30" s="41">
        <f>0.43*8*2842.4</f>
        <v>9777.8559999999998</v>
      </c>
    </row>
    <row r="31" spans="1:6" s="1" customFormat="1" x14ac:dyDescent="0.25">
      <c r="A31" s="28"/>
      <c r="B31" s="28" t="s">
        <v>35</v>
      </c>
      <c r="C31" s="28">
        <v>5</v>
      </c>
      <c r="D31" s="28" t="s">
        <v>52</v>
      </c>
      <c r="E31" s="28"/>
      <c r="F31" s="42">
        <f>5*8*2842.4</f>
        <v>113696</v>
      </c>
    </row>
    <row r="32" spans="1:6" s="1" customFormat="1" x14ac:dyDescent="0.25">
      <c r="A32" s="28"/>
      <c r="B32" s="28"/>
      <c r="C32" s="28"/>
      <c r="D32" s="28"/>
      <c r="E32" s="28"/>
      <c r="F32" s="42"/>
    </row>
    <row r="33" spans="1:6" s="1" customFormat="1" x14ac:dyDescent="0.25">
      <c r="A33" s="47"/>
      <c r="B33" s="48" t="s">
        <v>25</v>
      </c>
      <c r="C33" s="49">
        <f>SUM(C18:C32)</f>
        <v>11.149999999999999</v>
      </c>
      <c r="D33" s="48"/>
      <c r="E33" s="49"/>
      <c r="F33" s="50">
        <f>SUM(F18:F32)</f>
        <v>253542.08000000002</v>
      </c>
    </row>
    <row r="34" spans="1:6" s="1" customFormat="1" ht="25.5" x14ac:dyDescent="0.25">
      <c r="A34" s="26"/>
      <c r="B34" s="46" t="s">
        <v>39</v>
      </c>
      <c r="C34" s="26"/>
      <c r="D34" s="26"/>
      <c r="E34" s="26"/>
      <c r="F34" s="43">
        <f>F33+C10-E10</f>
        <v>21301.23000000001</v>
      </c>
    </row>
    <row r="35" spans="1:6" s="1" customFormat="1" x14ac:dyDescent="0.25">
      <c r="A35" s="28"/>
      <c r="B35" s="28"/>
      <c r="C35" s="28"/>
      <c r="D35" s="28"/>
      <c r="E35" s="28"/>
      <c r="F35" s="42"/>
    </row>
  </sheetData>
  <mergeCells count="8">
    <mergeCell ref="C26:C27"/>
    <mergeCell ref="D26:D27"/>
    <mergeCell ref="F26:F27"/>
    <mergeCell ref="B24:B25"/>
    <mergeCell ref="C24:C25"/>
    <mergeCell ref="D24:D25"/>
    <mergeCell ref="E24:E25"/>
    <mergeCell ref="F24:F2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Лист5"/>
  <dimension ref="A1:G33"/>
  <sheetViews>
    <sheetView topLeftCell="A16" workbookViewId="0">
      <selection activeCell="B18" sqref="B18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59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422.2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51285</v>
      </c>
      <c r="E10" s="35">
        <v>44122.12</v>
      </c>
      <c r="F10" s="35">
        <v>7162.88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7162.88</v>
      </c>
    </row>
    <row r="13" spans="1:7" s="1" customFormat="1" x14ac:dyDescent="0.25">
      <c r="A13" s="7"/>
      <c r="B13" s="11" t="s">
        <v>9</v>
      </c>
      <c r="C13" s="12">
        <f>E10/(C10+D10)</f>
        <v>0.86033187091742225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60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0.5</v>
      </c>
      <c r="D18" s="30" t="s">
        <v>51</v>
      </c>
      <c r="E18" s="7"/>
      <c r="F18" s="34">
        <f>0.5*10*422.2</f>
        <v>2111</v>
      </c>
    </row>
    <row r="19" spans="1:6" s="1" customFormat="1" x14ac:dyDescent="0.25">
      <c r="A19" s="8"/>
      <c r="B19" s="11" t="s">
        <v>27</v>
      </c>
      <c r="C19" s="29">
        <v>0</v>
      </c>
      <c r="D19" s="30" t="s">
        <v>51</v>
      </c>
      <c r="E19" s="7"/>
      <c r="F19" s="34">
        <v>0</v>
      </c>
    </row>
    <row r="20" spans="1:6" s="1" customFormat="1" x14ac:dyDescent="0.25">
      <c r="A20" s="23"/>
      <c r="B20" s="25" t="s">
        <v>17</v>
      </c>
      <c r="C20" s="25">
        <v>1.8</v>
      </c>
      <c r="D20" s="25" t="s">
        <v>51</v>
      </c>
      <c r="E20" s="25"/>
      <c r="F20" s="39">
        <f>1.8*10*422.2</f>
        <v>7599.5999999999995</v>
      </c>
    </row>
    <row r="21" spans="1:6" s="1" customFormat="1" x14ac:dyDescent="0.25">
      <c r="A21" s="25"/>
      <c r="B21" s="25" t="s">
        <v>19</v>
      </c>
      <c r="C21" s="25"/>
      <c r="D21" s="25"/>
      <c r="E21" s="25"/>
      <c r="F21" s="39"/>
    </row>
    <row r="22" spans="1:6" s="1" customFormat="1" ht="30" x14ac:dyDescent="0.25">
      <c r="A22" s="26"/>
      <c r="B22" s="44" t="s">
        <v>33</v>
      </c>
      <c r="C22" s="26"/>
      <c r="D22" s="26"/>
      <c r="E22" s="26"/>
      <c r="F22" s="40"/>
    </row>
    <row r="23" spans="1:6" s="1" customFormat="1" ht="30" x14ac:dyDescent="0.25">
      <c r="A23" s="23"/>
      <c r="B23" s="52" t="s">
        <v>34</v>
      </c>
      <c r="C23" s="23">
        <v>0.94</v>
      </c>
      <c r="D23" s="23" t="s">
        <v>51</v>
      </c>
      <c r="E23" s="24"/>
      <c r="F23" s="41">
        <f>0.94*10*422.2</f>
        <v>3968.6799999999994</v>
      </c>
    </row>
    <row r="24" spans="1:6" s="1" customFormat="1" x14ac:dyDescent="0.25">
      <c r="A24" s="23"/>
      <c r="B24" s="25" t="s">
        <v>21</v>
      </c>
      <c r="C24" s="54">
        <v>0.3</v>
      </c>
      <c r="D24" s="56" t="s">
        <v>51</v>
      </c>
      <c r="E24" s="23"/>
      <c r="F24" s="58">
        <f>0.3*10*422.2</f>
        <v>1266.5999999999999</v>
      </c>
    </row>
    <row r="25" spans="1:6" s="1" customFormat="1" x14ac:dyDescent="0.25">
      <c r="A25" s="26"/>
      <c r="B25" s="26" t="s">
        <v>22</v>
      </c>
      <c r="C25" s="55"/>
      <c r="D25" s="57"/>
      <c r="E25" s="26"/>
      <c r="F25" s="59"/>
    </row>
    <row r="26" spans="1:6" s="1" customFormat="1" ht="30" x14ac:dyDescent="0.25">
      <c r="A26" s="23"/>
      <c r="B26" s="27" t="s">
        <v>37</v>
      </c>
      <c r="C26" s="23">
        <v>0.52</v>
      </c>
      <c r="D26" s="23" t="s">
        <v>51</v>
      </c>
      <c r="E26" s="23"/>
      <c r="F26" s="41">
        <f>0.52*10*422.2</f>
        <v>2195.44</v>
      </c>
    </row>
    <row r="27" spans="1:6" s="1" customFormat="1" x14ac:dyDescent="0.25">
      <c r="A27" s="23"/>
      <c r="B27" s="28" t="s">
        <v>38</v>
      </c>
      <c r="C27" s="28">
        <v>1.89</v>
      </c>
      <c r="D27" s="28" t="s">
        <v>51</v>
      </c>
      <c r="E27" s="28"/>
      <c r="F27" s="42">
        <f>1.89*10*422.2</f>
        <v>7979.579999999999</v>
      </c>
    </row>
    <row r="28" spans="1:6" s="1" customFormat="1" x14ac:dyDescent="0.25">
      <c r="A28" s="23"/>
      <c r="B28" s="27" t="s">
        <v>36</v>
      </c>
      <c r="C28" s="23">
        <v>0.55000000000000004</v>
      </c>
      <c r="D28" s="23" t="s">
        <v>51</v>
      </c>
      <c r="E28" s="23"/>
      <c r="F28" s="41">
        <f>0.55*10*422.2</f>
        <v>2322.1</v>
      </c>
    </row>
    <row r="29" spans="1:6" s="1" customFormat="1" x14ac:dyDescent="0.25">
      <c r="A29" s="28"/>
      <c r="B29" s="28" t="s">
        <v>35</v>
      </c>
      <c r="C29" s="28">
        <v>3.5</v>
      </c>
      <c r="D29" s="28" t="s">
        <v>51</v>
      </c>
      <c r="E29" s="28"/>
      <c r="F29" s="42">
        <f>3.5*10*422.2</f>
        <v>14777</v>
      </c>
    </row>
    <row r="30" spans="1:6" s="1" customFormat="1" x14ac:dyDescent="0.25">
      <c r="A30" s="28"/>
      <c r="B30" s="28"/>
      <c r="C30" s="28"/>
      <c r="D30" s="28"/>
      <c r="E30" s="28"/>
      <c r="F30" s="42"/>
    </row>
    <row r="31" spans="1:6" s="1" customFormat="1" x14ac:dyDescent="0.25">
      <c r="A31" s="47"/>
      <c r="B31" s="48" t="s">
        <v>25</v>
      </c>
      <c r="C31" s="49">
        <f>SUM(C18:C30)</f>
        <v>10</v>
      </c>
      <c r="D31" s="48"/>
      <c r="E31" s="49"/>
      <c r="F31" s="50">
        <f>SUM(F18:F30)</f>
        <v>42220</v>
      </c>
    </row>
    <row r="32" spans="1:6" s="1" customFormat="1" ht="25.5" x14ac:dyDescent="0.25">
      <c r="A32" s="26"/>
      <c r="B32" s="46" t="s">
        <v>39</v>
      </c>
      <c r="C32" s="26"/>
      <c r="D32" s="26"/>
      <c r="E32" s="26"/>
      <c r="F32" s="43">
        <f>F31+C10-E10</f>
        <v>-1902.1200000000026</v>
      </c>
    </row>
    <row r="33" spans="1:6" s="1" customFormat="1" x14ac:dyDescent="0.25">
      <c r="A33" s="28"/>
      <c r="B33" s="28"/>
      <c r="C33" s="28"/>
      <c r="D33" s="28"/>
      <c r="E33" s="28"/>
      <c r="F33" s="42"/>
    </row>
  </sheetData>
  <mergeCells count="3">
    <mergeCell ref="C24:C25"/>
    <mergeCell ref="D24:D25"/>
    <mergeCell ref="F24:F25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Лист6"/>
  <dimension ref="A1:G33"/>
  <sheetViews>
    <sheetView topLeftCell="A13" workbookViewId="0">
      <selection activeCell="F32" sqref="F32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61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11110.2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379989.9</v>
      </c>
      <c r="E10" s="35">
        <v>207613.09</v>
      </c>
      <c r="F10" s="35">
        <v>172376.81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172376.81</v>
      </c>
    </row>
    <row r="13" spans="1:7" s="1" customFormat="1" x14ac:dyDescent="0.25">
      <c r="A13" s="7"/>
      <c r="B13" s="11" t="s">
        <v>9</v>
      </c>
      <c r="C13" s="12">
        <f>E10/(C10+D10)</f>
        <v>0.54636475864226919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31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0.5</v>
      </c>
      <c r="D18" s="30" t="s">
        <v>53</v>
      </c>
      <c r="E18" s="7"/>
      <c r="F18" s="34">
        <f>0.5*3*11110.2</f>
        <v>16665.300000000003</v>
      </c>
    </row>
    <row r="19" spans="1:6" s="1" customFormat="1" x14ac:dyDescent="0.25">
      <c r="A19" s="8"/>
      <c r="B19" s="11" t="s">
        <v>27</v>
      </c>
      <c r="C19" s="29">
        <v>0.28999999999999998</v>
      </c>
      <c r="D19" s="30" t="s">
        <v>53</v>
      </c>
      <c r="E19" s="7"/>
      <c r="F19" s="34">
        <f>0.29*3*11110.2</f>
        <v>9665.8739999999998</v>
      </c>
    </row>
    <row r="20" spans="1:6" s="1" customFormat="1" x14ac:dyDescent="0.25">
      <c r="A20" s="23"/>
      <c r="B20" s="25" t="s">
        <v>17</v>
      </c>
      <c r="C20" s="25">
        <v>1</v>
      </c>
      <c r="D20" s="25" t="s">
        <v>53</v>
      </c>
      <c r="E20" s="25"/>
      <c r="F20" s="39">
        <f>1*3*11110.2</f>
        <v>33330.600000000006</v>
      </c>
    </row>
    <row r="21" spans="1:6" s="1" customFormat="1" x14ac:dyDescent="0.25">
      <c r="A21" s="25"/>
      <c r="B21" s="25" t="s">
        <v>19</v>
      </c>
      <c r="C21" s="25"/>
      <c r="D21" s="25"/>
      <c r="E21" s="25"/>
      <c r="F21" s="39"/>
    </row>
    <row r="22" spans="1:6" s="1" customFormat="1" ht="30" x14ac:dyDescent="0.25">
      <c r="A22" s="26"/>
      <c r="B22" s="44" t="s">
        <v>33</v>
      </c>
      <c r="C22" s="26"/>
      <c r="D22" s="26"/>
      <c r="E22" s="26"/>
      <c r="F22" s="40"/>
    </row>
    <row r="23" spans="1:6" s="1" customFormat="1" ht="30" x14ac:dyDescent="0.25">
      <c r="A23" s="23"/>
      <c r="B23" s="52" t="s">
        <v>34</v>
      </c>
      <c r="C23" s="23">
        <v>0.3</v>
      </c>
      <c r="D23" s="23" t="s">
        <v>53</v>
      </c>
      <c r="E23" s="24"/>
      <c r="F23" s="41">
        <f>0.3*3*11110.2</f>
        <v>9999.18</v>
      </c>
    </row>
    <row r="24" spans="1:6" s="1" customFormat="1" x14ac:dyDescent="0.25">
      <c r="A24" s="23"/>
      <c r="B24" s="25" t="s">
        <v>21</v>
      </c>
      <c r="C24" s="54">
        <v>0</v>
      </c>
      <c r="D24" s="56" t="s">
        <v>54</v>
      </c>
      <c r="E24" s="23"/>
      <c r="F24" s="58">
        <v>0</v>
      </c>
    </row>
    <row r="25" spans="1:6" s="1" customFormat="1" x14ac:dyDescent="0.25">
      <c r="A25" s="26"/>
      <c r="B25" s="26" t="s">
        <v>22</v>
      </c>
      <c r="C25" s="55"/>
      <c r="D25" s="57"/>
      <c r="E25" s="26"/>
      <c r="F25" s="59"/>
    </row>
    <row r="26" spans="1:6" s="1" customFormat="1" ht="30" x14ac:dyDescent="0.25">
      <c r="A26" s="23"/>
      <c r="B26" s="27" t="s">
        <v>37</v>
      </c>
      <c r="C26" s="23">
        <v>0.22</v>
      </c>
      <c r="D26" s="23" t="s">
        <v>53</v>
      </c>
      <c r="E26" s="23"/>
      <c r="F26" s="41">
        <f>0.22*3*11110.2</f>
        <v>7332.7320000000009</v>
      </c>
    </row>
    <row r="27" spans="1:6" s="1" customFormat="1" x14ac:dyDescent="0.25">
      <c r="A27" s="23"/>
      <c r="B27" s="28" t="s">
        <v>38</v>
      </c>
      <c r="C27" s="28">
        <v>0</v>
      </c>
      <c r="D27" s="28" t="s">
        <v>53</v>
      </c>
      <c r="E27" s="28"/>
      <c r="F27" s="42">
        <v>0</v>
      </c>
    </row>
    <row r="28" spans="1:6" s="1" customFormat="1" x14ac:dyDescent="0.25">
      <c r="A28" s="23"/>
      <c r="B28" s="27" t="s">
        <v>36</v>
      </c>
      <c r="C28" s="23">
        <v>0.51</v>
      </c>
      <c r="D28" s="23" t="s">
        <v>53</v>
      </c>
      <c r="E28" s="23"/>
      <c r="F28" s="41">
        <f>0.51*3*11110.2</f>
        <v>16998.606</v>
      </c>
    </row>
    <row r="29" spans="1:6" s="1" customFormat="1" x14ac:dyDescent="0.25">
      <c r="A29" s="28"/>
      <c r="B29" s="28" t="s">
        <v>35</v>
      </c>
      <c r="C29" s="28">
        <v>5</v>
      </c>
      <c r="D29" s="28" t="s">
        <v>53</v>
      </c>
      <c r="E29" s="28"/>
      <c r="F29" s="42">
        <v>237401.1</v>
      </c>
    </row>
    <row r="30" spans="1:6" s="1" customFormat="1" x14ac:dyDescent="0.25">
      <c r="A30" s="28"/>
      <c r="B30" s="28"/>
      <c r="C30" s="28"/>
      <c r="D30" s="28"/>
      <c r="E30" s="28"/>
      <c r="F30" s="42"/>
    </row>
    <row r="31" spans="1:6" s="1" customFormat="1" x14ac:dyDescent="0.25">
      <c r="A31" s="47"/>
      <c r="B31" s="48" t="s">
        <v>25</v>
      </c>
      <c r="C31" s="49">
        <f>SUM(C18:C30)</f>
        <v>7.82</v>
      </c>
      <c r="D31" s="48"/>
      <c r="E31" s="49"/>
      <c r="F31" s="50">
        <f>SUM(F18:F30)</f>
        <v>331393.39199999999</v>
      </c>
    </row>
    <row r="32" spans="1:6" s="1" customFormat="1" ht="25.5" x14ac:dyDescent="0.25">
      <c r="A32" s="26"/>
      <c r="B32" s="46" t="s">
        <v>39</v>
      </c>
      <c r="C32" s="26"/>
      <c r="D32" s="26"/>
      <c r="E32" s="26"/>
      <c r="F32" s="43">
        <f>F31+C10-E10</f>
        <v>123780.302</v>
      </c>
    </row>
    <row r="33" spans="1:6" s="1" customFormat="1" x14ac:dyDescent="0.25">
      <c r="A33" s="28"/>
      <c r="B33" s="28"/>
      <c r="C33" s="28"/>
      <c r="D33" s="28"/>
      <c r="E33" s="28"/>
      <c r="F33" s="42"/>
    </row>
  </sheetData>
  <mergeCells count="3">
    <mergeCell ref="C24:C25"/>
    <mergeCell ref="D24:D25"/>
    <mergeCell ref="F24:F2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Лист7"/>
  <dimension ref="A1:G35"/>
  <sheetViews>
    <sheetView tabSelected="1" topLeftCell="A4" workbookViewId="0">
      <selection activeCell="C21" sqref="C21"/>
    </sheetView>
  </sheetViews>
  <sheetFormatPr defaultRowHeight="15" x14ac:dyDescent="0.25"/>
  <cols>
    <col min="1" max="1" width="5.28515625" customWidth="1"/>
    <col min="2" max="2" width="64.42578125" customWidth="1"/>
    <col min="3" max="3" width="14.42578125" customWidth="1"/>
    <col min="4" max="4" width="17.85546875" customWidth="1"/>
    <col min="5" max="5" width="11.28515625" customWidth="1"/>
    <col min="6" max="6" width="14.85546875" style="31" customWidth="1"/>
    <col min="7" max="7" width="10.140625" bestFit="1" customWidth="1"/>
    <col min="10" max="10" width="10.140625" bestFit="1" customWidth="1"/>
    <col min="257" max="257" width="5.28515625" customWidth="1"/>
    <col min="258" max="258" width="60.140625" customWidth="1"/>
    <col min="259" max="259" width="15.7109375" customWidth="1"/>
    <col min="260" max="260" width="17.85546875" customWidth="1"/>
    <col min="261" max="261" width="12.7109375" customWidth="1"/>
    <col min="262" max="262" width="14.5703125" bestFit="1" customWidth="1"/>
    <col min="263" max="263" width="10.140625" bestFit="1" customWidth="1"/>
    <col min="266" max="266" width="10.140625" bestFit="1" customWidth="1"/>
    <col min="513" max="513" width="5.28515625" customWidth="1"/>
    <col min="514" max="514" width="60.140625" customWidth="1"/>
    <col min="515" max="515" width="15.7109375" customWidth="1"/>
    <col min="516" max="516" width="17.85546875" customWidth="1"/>
    <col min="517" max="517" width="12.7109375" customWidth="1"/>
    <col min="518" max="518" width="14.5703125" bestFit="1" customWidth="1"/>
    <col min="519" max="519" width="10.140625" bestFit="1" customWidth="1"/>
    <col min="522" max="522" width="10.140625" bestFit="1" customWidth="1"/>
    <col min="769" max="769" width="5.28515625" customWidth="1"/>
    <col min="770" max="770" width="60.140625" customWidth="1"/>
    <col min="771" max="771" width="15.7109375" customWidth="1"/>
    <col min="772" max="772" width="17.85546875" customWidth="1"/>
    <col min="773" max="773" width="12.7109375" customWidth="1"/>
    <col min="774" max="774" width="14.5703125" bestFit="1" customWidth="1"/>
    <col min="775" max="775" width="10.140625" bestFit="1" customWidth="1"/>
    <col min="778" max="778" width="10.140625" bestFit="1" customWidth="1"/>
    <col min="1025" max="1025" width="5.28515625" customWidth="1"/>
    <col min="1026" max="1026" width="60.140625" customWidth="1"/>
    <col min="1027" max="1027" width="15.7109375" customWidth="1"/>
    <col min="1028" max="1028" width="17.85546875" customWidth="1"/>
    <col min="1029" max="1029" width="12.7109375" customWidth="1"/>
    <col min="1030" max="1030" width="14.5703125" bestFit="1" customWidth="1"/>
    <col min="1031" max="1031" width="10.140625" bestFit="1" customWidth="1"/>
    <col min="1034" max="1034" width="10.140625" bestFit="1" customWidth="1"/>
    <col min="1281" max="1281" width="5.28515625" customWidth="1"/>
    <col min="1282" max="1282" width="60.140625" customWidth="1"/>
    <col min="1283" max="1283" width="15.7109375" customWidth="1"/>
    <col min="1284" max="1284" width="17.85546875" customWidth="1"/>
    <col min="1285" max="1285" width="12.7109375" customWidth="1"/>
    <col min="1286" max="1286" width="14.5703125" bestFit="1" customWidth="1"/>
    <col min="1287" max="1287" width="10.140625" bestFit="1" customWidth="1"/>
    <col min="1290" max="1290" width="10.140625" bestFit="1" customWidth="1"/>
    <col min="1537" max="1537" width="5.28515625" customWidth="1"/>
    <col min="1538" max="1538" width="60.140625" customWidth="1"/>
    <col min="1539" max="1539" width="15.7109375" customWidth="1"/>
    <col min="1540" max="1540" width="17.85546875" customWidth="1"/>
    <col min="1541" max="1541" width="12.7109375" customWidth="1"/>
    <col min="1542" max="1542" width="14.5703125" bestFit="1" customWidth="1"/>
    <col min="1543" max="1543" width="10.140625" bestFit="1" customWidth="1"/>
    <col min="1546" max="1546" width="10.140625" bestFit="1" customWidth="1"/>
    <col min="1793" max="1793" width="5.28515625" customWidth="1"/>
    <col min="1794" max="1794" width="60.140625" customWidth="1"/>
    <col min="1795" max="1795" width="15.7109375" customWidth="1"/>
    <col min="1796" max="1796" width="17.85546875" customWidth="1"/>
    <col min="1797" max="1797" width="12.7109375" customWidth="1"/>
    <col min="1798" max="1798" width="14.5703125" bestFit="1" customWidth="1"/>
    <col min="1799" max="1799" width="10.140625" bestFit="1" customWidth="1"/>
    <col min="1802" max="1802" width="10.140625" bestFit="1" customWidth="1"/>
    <col min="2049" max="2049" width="5.28515625" customWidth="1"/>
    <col min="2050" max="2050" width="60.140625" customWidth="1"/>
    <col min="2051" max="2051" width="15.7109375" customWidth="1"/>
    <col min="2052" max="2052" width="17.85546875" customWidth="1"/>
    <col min="2053" max="2053" width="12.7109375" customWidth="1"/>
    <col min="2054" max="2054" width="14.5703125" bestFit="1" customWidth="1"/>
    <col min="2055" max="2055" width="10.140625" bestFit="1" customWidth="1"/>
    <col min="2058" max="2058" width="10.140625" bestFit="1" customWidth="1"/>
    <col min="2305" max="2305" width="5.28515625" customWidth="1"/>
    <col min="2306" max="2306" width="60.140625" customWidth="1"/>
    <col min="2307" max="2307" width="15.7109375" customWidth="1"/>
    <col min="2308" max="2308" width="17.85546875" customWidth="1"/>
    <col min="2309" max="2309" width="12.7109375" customWidth="1"/>
    <col min="2310" max="2310" width="14.5703125" bestFit="1" customWidth="1"/>
    <col min="2311" max="2311" width="10.140625" bestFit="1" customWidth="1"/>
    <col min="2314" max="2314" width="10.140625" bestFit="1" customWidth="1"/>
    <col min="2561" max="2561" width="5.28515625" customWidth="1"/>
    <col min="2562" max="2562" width="60.140625" customWidth="1"/>
    <col min="2563" max="2563" width="15.7109375" customWidth="1"/>
    <col min="2564" max="2564" width="17.85546875" customWidth="1"/>
    <col min="2565" max="2565" width="12.7109375" customWidth="1"/>
    <col min="2566" max="2566" width="14.5703125" bestFit="1" customWidth="1"/>
    <col min="2567" max="2567" width="10.140625" bestFit="1" customWidth="1"/>
    <col min="2570" max="2570" width="10.140625" bestFit="1" customWidth="1"/>
    <col min="2817" max="2817" width="5.28515625" customWidth="1"/>
    <col min="2818" max="2818" width="60.140625" customWidth="1"/>
    <col min="2819" max="2819" width="15.7109375" customWidth="1"/>
    <col min="2820" max="2820" width="17.85546875" customWidth="1"/>
    <col min="2821" max="2821" width="12.7109375" customWidth="1"/>
    <col min="2822" max="2822" width="14.5703125" bestFit="1" customWidth="1"/>
    <col min="2823" max="2823" width="10.140625" bestFit="1" customWidth="1"/>
    <col min="2826" max="2826" width="10.140625" bestFit="1" customWidth="1"/>
    <col min="3073" max="3073" width="5.28515625" customWidth="1"/>
    <col min="3074" max="3074" width="60.140625" customWidth="1"/>
    <col min="3075" max="3075" width="15.7109375" customWidth="1"/>
    <col min="3076" max="3076" width="17.85546875" customWidth="1"/>
    <col min="3077" max="3077" width="12.7109375" customWidth="1"/>
    <col min="3078" max="3078" width="14.5703125" bestFit="1" customWidth="1"/>
    <col min="3079" max="3079" width="10.140625" bestFit="1" customWidth="1"/>
    <col min="3082" max="3082" width="10.140625" bestFit="1" customWidth="1"/>
    <col min="3329" max="3329" width="5.28515625" customWidth="1"/>
    <col min="3330" max="3330" width="60.140625" customWidth="1"/>
    <col min="3331" max="3331" width="15.7109375" customWidth="1"/>
    <col min="3332" max="3332" width="17.85546875" customWidth="1"/>
    <col min="3333" max="3333" width="12.7109375" customWidth="1"/>
    <col min="3334" max="3334" width="14.5703125" bestFit="1" customWidth="1"/>
    <col min="3335" max="3335" width="10.140625" bestFit="1" customWidth="1"/>
    <col min="3338" max="3338" width="10.140625" bestFit="1" customWidth="1"/>
    <col min="3585" max="3585" width="5.28515625" customWidth="1"/>
    <col min="3586" max="3586" width="60.140625" customWidth="1"/>
    <col min="3587" max="3587" width="15.7109375" customWidth="1"/>
    <col min="3588" max="3588" width="17.85546875" customWidth="1"/>
    <col min="3589" max="3589" width="12.7109375" customWidth="1"/>
    <col min="3590" max="3590" width="14.5703125" bestFit="1" customWidth="1"/>
    <col min="3591" max="3591" width="10.140625" bestFit="1" customWidth="1"/>
    <col min="3594" max="3594" width="10.140625" bestFit="1" customWidth="1"/>
    <col min="3841" max="3841" width="5.28515625" customWidth="1"/>
    <col min="3842" max="3842" width="60.140625" customWidth="1"/>
    <col min="3843" max="3843" width="15.7109375" customWidth="1"/>
    <col min="3844" max="3844" width="17.85546875" customWidth="1"/>
    <col min="3845" max="3845" width="12.7109375" customWidth="1"/>
    <col min="3846" max="3846" width="14.5703125" bestFit="1" customWidth="1"/>
    <col min="3847" max="3847" width="10.140625" bestFit="1" customWidth="1"/>
    <col min="3850" max="3850" width="10.140625" bestFit="1" customWidth="1"/>
    <col min="4097" max="4097" width="5.28515625" customWidth="1"/>
    <col min="4098" max="4098" width="60.140625" customWidth="1"/>
    <col min="4099" max="4099" width="15.7109375" customWidth="1"/>
    <col min="4100" max="4100" width="17.85546875" customWidth="1"/>
    <col min="4101" max="4101" width="12.7109375" customWidth="1"/>
    <col min="4102" max="4102" width="14.5703125" bestFit="1" customWidth="1"/>
    <col min="4103" max="4103" width="10.140625" bestFit="1" customWidth="1"/>
    <col min="4106" max="4106" width="10.140625" bestFit="1" customWidth="1"/>
    <col min="4353" max="4353" width="5.28515625" customWidth="1"/>
    <col min="4354" max="4354" width="60.140625" customWidth="1"/>
    <col min="4355" max="4355" width="15.7109375" customWidth="1"/>
    <col min="4356" max="4356" width="17.85546875" customWidth="1"/>
    <col min="4357" max="4357" width="12.7109375" customWidth="1"/>
    <col min="4358" max="4358" width="14.5703125" bestFit="1" customWidth="1"/>
    <col min="4359" max="4359" width="10.140625" bestFit="1" customWidth="1"/>
    <col min="4362" max="4362" width="10.140625" bestFit="1" customWidth="1"/>
    <col min="4609" max="4609" width="5.28515625" customWidth="1"/>
    <col min="4610" max="4610" width="60.140625" customWidth="1"/>
    <col min="4611" max="4611" width="15.7109375" customWidth="1"/>
    <col min="4612" max="4612" width="17.85546875" customWidth="1"/>
    <col min="4613" max="4613" width="12.7109375" customWidth="1"/>
    <col min="4614" max="4614" width="14.5703125" bestFit="1" customWidth="1"/>
    <col min="4615" max="4615" width="10.140625" bestFit="1" customWidth="1"/>
    <col min="4618" max="4618" width="10.140625" bestFit="1" customWidth="1"/>
    <col min="4865" max="4865" width="5.28515625" customWidth="1"/>
    <col min="4866" max="4866" width="60.140625" customWidth="1"/>
    <col min="4867" max="4867" width="15.7109375" customWidth="1"/>
    <col min="4868" max="4868" width="17.85546875" customWidth="1"/>
    <col min="4869" max="4869" width="12.7109375" customWidth="1"/>
    <col min="4870" max="4870" width="14.5703125" bestFit="1" customWidth="1"/>
    <col min="4871" max="4871" width="10.140625" bestFit="1" customWidth="1"/>
    <col min="4874" max="4874" width="10.140625" bestFit="1" customWidth="1"/>
    <col min="5121" max="5121" width="5.28515625" customWidth="1"/>
    <col min="5122" max="5122" width="60.140625" customWidth="1"/>
    <col min="5123" max="5123" width="15.7109375" customWidth="1"/>
    <col min="5124" max="5124" width="17.85546875" customWidth="1"/>
    <col min="5125" max="5125" width="12.7109375" customWidth="1"/>
    <col min="5126" max="5126" width="14.5703125" bestFit="1" customWidth="1"/>
    <col min="5127" max="5127" width="10.140625" bestFit="1" customWidth="1"/>
    <col min="5130" max="5130" width="10.140625" bestFit="1" customWidth="1"/>
    <col min="5377" max="5377" width="5.28515625" customWidth="1"/>
    <col min="5378" max="5378" width="60.140625" customWidth="1"/>
    <col min="5379" max="5379" width="15.7109375" customWidth="1"/>
    <col min="5380" max="5380" width="17.85546875" customWidth="1"/>
    <col min="5381" max="5381" width="12.7109375" customWidth="1"/>
    <col min="5382" max="5382" width="14.5703125" bestFit="1" customWidth="1"/>
    <col min="5383" max="5383" width="10.140625" bestFit="1" customWidth="1"/>
    <col min="5386" max="5386" width="10.140625" bestFit="1" customWidth="1"/>
    <col min="5633" max="5633" width="5.28515625" customWidth="1"/>
    <col min="5634" max="5634" width="60.140625" customWidth="1"/>
    <col min="5635" max="5635" width="15.7109375" customWidth="1"/>
    <col min="5636" max="5636" width="17.85546875" customWidth="1"/>
    <col min="5637" max="5637" width="12.7109375" customWidth="1"/>
    <col min="5638" max="5638" width="14.5703125" bestFit="1" customWidth="1"/>
    <col min="5639" max="5639" width="10.140625" bestFit="1" customWidth="1"/>
    <col min="5642" max="5642" width="10.140625" bestFit="1" customWidth="1"/>
    <col min="5889" max="5889" width="5.28515625" customWidth="1"/>
    <col min="5890" max="5890" width="60.140625" customWidth="1"/>
    <col min="5891" max="5891" width="15.7109375" customWidth="1"/>
    <col min="5892" max="5892" width="17.85546875" customWidth="1"/>
    <col min="5893" max="5893" width="12.7109375" customWidth="1"/>
    <col min="5894" max="5894" width="14.5703125" bestFit="1" customWidth="1"/>
    <col min="5895" max="5895" width="10.140625" bestFit="1" customWidth="1"/>
    <col min="5898" max="5898" width="10.140625" bestFit="1" customWidth="1"/>
    <col min="6145" max="6145" width="5.28515625" customWidth="1"/>
    <col min="6146" max="6146" width="60.140625" customWidth="1"/>
    <col min="6147" max="6147" width="15.7109375" customWidth="1"/>
    <col min="6148" max="6148" width="17.85546875" customWidth="1"/>
    <col min="6149" max="6149" width="12.7109375" customWidth="1"/>
    <col min="6150" max="6150" width="14.5703125" bestFit="1" customWidth="1"/>
    <col min="6151" max="6151" width="10.140625" bestFit="1" customWidth="1"/>
    <col min="6154" max="6154" width="10.140625" bestFit="1" customWidth="1"/>
    <col min="6401" max="6401" width="5.28515625" customWidth="1"/>
    <col min="6402" max="6402" width="60.140625" customWidth="1"/>
    <col min="6403" max="6403" width="15.7109375" customWidth="1"/>
    <col min="6404" max="6404" width="17.85546875" customWidth="1"/>
    <col min="6405" max="6405" width="12.7109375" customWidth="1"/>
    <col min="6406" max="6406" width="14.5703125" bestFit="1" customWidth="1"/>
    <col min="6407" max="6407" width="10.140625" bestFit="1" customWidth="1"/>
    <col min="6410" max="6410" width="10.140625" bestFit="1" customWidth="1"/>
    <col min="6657" max="6657" width="5.28515625" customWidth="1"/>
    <col min="6658" max="6658" width="60.140625" customWidth="1"/>
    <col min="6659" max="6659" width="15.7109375" customWidth="1"/>
    <col min="6660" max="6660" width="17.85546875" customWidth="1"/>
    <col min="6661" max="6661" width="12.7109375" customWidth="1"/>
    <col min="6662" max="6662" width="14.5703125" bestFit="1" customWidth="1"/>
    <col min="6663" max="6663" width="10.140625" bestFit="1" customWidth="1"/>
    <col min="6666" max="6666" width="10.140625" bestFit="1" customWidth="1"/>
    <col min="6913" max="6913" width="5.28515625" customWidth="1"/>
    <col min="6914" max="6914" width="60.140625" customWidth="1"/>
    <col min="6915" max="6915" width="15.7109375" customWidth="1"/>
    <col min="6916" max="6916" width="17.85546875" customWidth="1"/>
    <col min="6917" max="6917" width="12.7109375" customWidth="1"/>
    <col min="6918" max="6918" width="14.5703125" bestFit="1" customWidth="1"/>
    <col min="6919" max="6919" width="10.140625" bestFit="1" customWidth="1"/>
    <col min="6922" max="6922" width="10.140625" bestFit="1" customWidth="1"/>
    <col min="7169" max="7169" width="5.28515625" customWidth="1"/>
    <col min="7170" max="7170" width="60.140625" customWidth="1"/>
    <col min="7171" max="7171" width="15.7109375" customWidth="1"/>
    <col min="7172" max="7172" width="17.85546875" customWidth="1"/>
    <col min="7173" max="7173" width="12.7109375" customWidth="1"/>
    <col min="7174" max="7174" width="14.5703125" bestFit="1" customWidth="1"/>
    <col min="7175" max="7175" width="10.140625" bestFit="1" customWidth="1"/>
    <col min="7178" max="7178" width="10.140625" bestFit="1" customWidth="1"/>
    <col min="7425" max="7425" width="5.28515625" customWidth="1"/>
    <col min="7426" max="7426" width="60.140625" customWidth="1"/>
    <col min="7427" max="7427" width="15.7109375" customWidth="1"/>
    <col min="7428" max="7428" width="17.85546875" customWidth="1"/>
    <col min="7429" max="7429" width="12.7109375" customWidth="1"/>
    <col min="7430" max="7430" width="14.5703125" bestFit="1" customWidth="1"/>
    <col min="7431" max="7431" width="10.140625" bestFit="1" customWidth="1"/>
    <col min="7434" max="7434" width="10.140625" bestFit="1" customWidth="1"/>
    <col min="7681" max="7681" width="5.28515625" customWidth="1"/>
    <col min="7682" max="7682" width="60.140625" customWidth="1"/>
    <col min="7683" max="7683" width="15.7109375" customWidth="1"/>
    <col min="7684" max="7684" width="17.85546875" customWidth="1"/>
    <col min="7685" max="7685" width="12.7109375" customWidth="1"/>
    <col min="7686" max="7686" width="14.5703125" bestFit="1" customWidth="1"/>
    <col min="7687" max="7687" width="10.140625" bestFit="1" customWidth="1"/>
    <col min="7690" max="7690" width="10.140625" bestFit="1" customWidth="1"/>
    <col min="7937" max="7937" width="5.28515625" customWidth="1"/>
    <col min="7938" max="7938" width="60.140625" customWidth="1"/>
    <col min="7939" max="7939" width="15.7109375" customWidth="1"/>
    <col min="7940" max="7940" width="17.85546875" customWidth="1"/>
    <col min="7941" max="7941" width="12.7109375" customWidth="1"/>
    <col min="7942" max="7942" width="14.5703125" bestFit="1" customWidth="1"/>
    <col min="7943" max="7943" width="10.140625" bestFit="1" customWidth="1"/>
    <col min="7946" max="7946" width="10.140625" bestFit="1" customWidth="1"/>
    <col min="8193" max="8193" width="5.28515625" customWidth="1"/>
    <col min="8194" max="8194" width="60.140625" customWidth="1"/>
    <col min="8195" max="8195" width="15.7109375" customWidth="1"/>
    <col min="8196" max="8196" width="17.85546875" customWidth="1"/>
    <col min="8197" max="8197" width="12.7109375" customWidth="1"/>
    <col min="8198" max="8198" width="14.5703125" bestFit="1" customWidth="1"/>
    <col min="8199" max="8199" width="10.140625" bestFit="1" customWidth="1"/>
    <col min="8202" max="8202" width="10.140625" bestFit="1" customWidth="1"/>
    <col min="8449" max="8449" width="5.28515625" customWidth="1"/>
    <col min="8450" max="8450" width="60.140625" customWidth="1"/>
    <col min="8451" max="8451" width="15.7109375" customWidth="1"/>
    <col min="8452" max="8452" width="17.85546875" customWidth="1"/>
    <col min="8453" max="8453" width="12.7109375" customWidth="1"/>
    <col min="8454" max="8454" width="14.5703125" bestFit="1" customWidth="1"/>
    <col min="8455" max="8455" width="10.140625" bestFit="1" customWidth="1"/>
    <col min="8458" max="8458" width="10.140625" bestFit="1" customWidth="1"/>
    <col min="8705" max="8705" width="5.28515625" customWidth="1"/>
    <col min="8706" max="8706" width="60.140625" customWidth="1"/>
    <col min="8707" max="8707" width="15.7109375" customWidth="1"/>
    <col min="8708" max="8708" width="17.85546875" customWidth="1"/>
    <col min="8709" max="8709" width="12.7109375" customWidth="1"/>
    <col min="8710" max="8710" width="14.5703125" bestFit="1" customWidth="1"/>
    <col min="8711" max="8711" width="10.140625" bestFit="1" customWidth="1"/>
    <col min="8714" max="8714" width="10.140625" bestFit="1" customWidth="1"/>
    <col min="8961" max="8961" width="5.28515625" customWidth="1"/>
    <col min="8962" max="8962" width="60.140625" customWidth="1"/>
    <col min="8963" max="8963" width="15.7109375" customWidth="1"/>
    <col min="8964" max="8964" width="17.85546875" customWidth="1"/>
    <col min="8965" max="8965" width="12.7109375" customWidth="1"/>
    <col min="8966" max="8966" width="14.5703125" bestFit="1" customWidth="1"/>
    <col min="8967" max="8967" width="10.140625" bestFit="1" customWidth="1"/>
    <col min="8970" max="8970" width="10.140625" bestFit="1" customWidth="1"/>
    <col min="9217" max="9217" width="5.28515625" customWidth="1"/>
    <col min="9218" max="9218" width="60.140625" customWidth="1"/>
    <col min="9219" max="9219" width="15.7109375" customWidth="1"/>
    <col min="9220" max="9220" width="17.85546875" customWidth="1"/>
    <col min="9221" max="9221" width="12.7109375" customWidth="1"/>
    <col min="9222" max="9222" width="14.5703125" bestFit="1" customWidth="1"/>
    <col min="9223" max="9223" width="10.140625" bestFit="1" customWidth="1"/>
    <col min="9226" max="9226" width="10.140625" bestFit="1" customWidth="1"/>
    <col min="9473" max="9473" width="5.28515625" customWidth="1"/>
    <col min="9474" max="9474" width="60.140625" customWidth="1"/>
    <col min="9475" max="9475" width="15.7109375" customWidth="1"/>
    <col min="9476" max="9476" width="17.85546875" customWidth="1"/>
    <col min="9477" max="9477" width="12.7109375" customWidth="1"/>
    <col min="9478" max="9478" width="14.5703125" bestFit="1" customWidth="1"/>
    <col min="9479" max="9479" width="10.140625" bestFit="1" customWidth="1"/>
    <col min="9482" max="9482" width="10.140625" bestFit="1" customWidth="1"/>
    <col min="9729" max="9729" width="5.28515625" customWidth="1"/>
    <col min="9730" max="9730" width="60.140625" customWidth="1"/>
    <col min="9731" max="9731" width="15.7109375" customWidth="1"/>
    <col min="9732" max="9732" width="17.85546875" customWidth="1"/>
    <col min="9733" max="9733" width="12.7109375" customWidth="1"/>
    <col min="9734" max="9734" width="14.5703125" bestFit="1" customWidth="1"/>
    <col min="9735" max="9735" width="10.140625" bestFit="1" customWidth="1"/>
    <col min="9738" max="9738" width="10.140625" bestFit="1" customWidth="1"/>
    <col min="9985" max="9985" width="5.28515625" customWidth="1"/>
    <col min="9986" max="9986" width="60.140625" customWidth="1"/>
    <col min="9987" max="9987" width="15.7109375" customWidth="1"/>
    <col min="9988" max="9988" width="17.85546875" customWidth="1"/>
    <col min="9989" max="9989" width="12.7109375" customWidth="1"/>
    <col min="9990" max="9990" width="14.5703125" bestFit="1" customWidth="1"/>
    <col min="9991" max="9991" width="10.140625" bestFit="1" customWidth="1"/>
    <col min="9994" max="9994" width="10.140625" bestFit="1" customWidth="1"/>
    <col min="10241" max="10241" width="5.28515625" customWidth="1"/>
    <col min="10242" max="10242" width="60.140625" customWidth="1"/>
    <col min="10243" max="10243" width="15.7109375" customWidth="1"/>
    <col min="10244" max="10244" width="17.85546875" customWidth="1"/>
    <col min="10245" max="10245" width="12.7109375" customWidth="1"/>
    <col min="10246" max="10246" width="14.5703125" bestFit="1" customWidth="1"/>
    <col min="10247" max="10247" width="10.140625" bestFit="1" customWidth="1"/>
    <col min="10250" max="10250" width="10.140625" bestFit="1" customWidth="1"/>
    <col min="10497" max="10497" width="5.28515625" customWidth="1"/>
    <col min="10498" max="10498" width="60.140625" customWidth="1"/>
    <col min="10499" max="10499" width="15.7109375" customWidth="1"/>
    <col min="10500" max="10500" width="17.85546875" customWidth="1"/>
    <col min="10501" max="10501" width="12.7109375" customWidth="1"/>
    <col min="10502" max="10502" width="14.5703125" bestFit="1" customWidth="1"/>
    <col min="10503" max="10503" width="10.140625" bestFit="1" customWidth="1"/>
    <col min="10506" max="10506" width="10.140625" bestFit="1" customWidth="1"/>
    <col min="10753" max="10753" width="5.28515625" customWidth="1"/>
    <col min="10754" max="10754" width="60.140625" customWidth="1"/>
    <col min="10755" max="10755" width="15.7109375" customWidth="1"/>
    <col min="10756" max="10756" width="17.85546875" customWidth="1"/>
    <col min="10757" max="10757" width="12.7109375" customWidth="1"/>
    <col min="10758" max="10758" width="14.5703125" bestFit="1" customWidth="1"/>
    <col min="10759" max="10759" width="10.140625" bestFit="1" customWidth="1"/>
    <col min="10762" max="10762" width="10.140625" bestFit="1" customWidth="1"/>
    <col min="11009" max="11009" width="5.28515625" customWidth="1"/>
    <col min="11010" max="11010" width="60.140625" customWidth="1"/>
    <col min="11011" max="11011" width="15.7109375" customWidth="1"/>
    <col min="11012" max="11012" width="17.85546875" customWidth="1"/>
    <col min="11013" max="11013" width="12.7109375" customWidth="1"/>
    <col min="11014" max="11014" width="14.5703125" bestFit="1" customWidth="1"/>
    <col min="11015" max="11015" width="10.140625" bestFit="1" customWidth="1"/>
    <col min="11018" max="11018" width="10.140625" bestFit="1" customWidth="1"/>
    <col min="11265" max="11265" width="5.28515625" customWidth="1"/>
    <col min="11266" max="11266" width="60.140625" customWidth="1"/>
    <col min="11267" max="11267" width="15.7109375" customWidth="1"/>
    <col min="11268" max="11268" width="17.85546875" customWidth="1"/>
    <col min="11269" max="11269" width="12.7109375" customWidth="1"/>
    <col min="11270" max="11270" width="14.5703125" bestFit="1" customWidth="1"/>
    <col min="11271" max="11271" width="10.140625" bestFit="1" customWidth="1"/>
    <col min="11274" max="11274" width="10.140625" bestFit="1" customWidth="1"/>
    <col min="11521" max="11521" width="5.28515625" customWidth="1"/>
    <col min="11522" max="11522" width="60.140625" customWidth="1"/>
    <col min="11523" max="11523" width="15.7109375" customWidth="1"/>
    <col min="11524" max="11524" width="17.85546875" customWidth="1"/>
    <col min="11525" max="11525" width="12.7109375" customWidth="1"/>
    <col min="11526" max="11526" width="14.5703125" bestFit="1" customWidth="1"/>
    <col min="11527" max="11527" width="10.140625" bestFit="1" customWidth="1"/>
    <col min="11530" max="11530" width="10.140625" bestFit="1" customWidth="1"/>
    <col min="11777" max="11777" width="5.28515625" customWidth="1"/>
    <col min="11778" max="11778" width="60.140625" customWidth="1"/>
    <col min="11779" max="11779" width="15.7109375" customWidth="1"/>
    <col min="11780" max="11780" width="17.85546875" customWidth="1"/>
    <col min="11781" max="11781" width="12.7109375" customWidth="1"/>
    <col min="11782" max="11782" width="14.5703125" bestFit="1" customWidth="1"/>
    <col min="11783" max="11783" width="10.140625" bestFit="1" customWidth="1"/>
    <col min="11786" max="11786" width="10.140625" bestFit="1" customWidth="1"/>
    <col min="12033" max="12033" width="5.28515625" customWidth="1"/>
    <col min="12034" max="12034" width="60.140625" customWidth="1"/>
    <col min="12035" max="12035" width="15.7109375" customWidth="1"/>
    <col min="12036" max="12036" width="17.85546875" customWidth="1"/>
    <col min="12037" max="12037" width="12.7109375" customWidth="1"/>
    <col min="12038" max="12038" width="14.5703125" bestFit="1" customWidth="1"/>
    <col min="12039" max="12039" width="10.140625" bestFit="1" customWidth="1"/>
    <col min="12042" max="12042" width="10.140625" bestFit="1" customWidth="1"/>
    <col min="12289" max="12289" width="5.28515625" customWidth="1"/>
    <col min="12290" max="12290" width="60.140625" customWidth="1"/>
    <col min="12291" max="12291" width="15.7109375" customWidth="1"/>
    <col min="12292" max="12292" width="17.85546875" customWidth="1"/>
    <col min="12293" max="12293" width="12.7109375" customWidth="1"/>
    <col min="12294" max="12294" width="14.5703125" bestFit="1" customWidth="1"/>
    <col min="12295" max="12295" width="10.140625" bestFit="1" customWidth="1"/>
    <col min="12298" max="12298" width="10.140625" bestFit="1" customWidth="1"/>
    <col min="12545" max="12545" width="5.28515625" customWidth="1"/>
    <col min="12546" max="12546" width="60.140625" customWidth="1"/>
    <col min="12547" max="12547" width="15.7109375" customWidth="1"/>
    <col min="12548" max="12548" width="17.85546875" customWidth="1"/>
    <col min="12549" max="12549" width="12.7109375" customWidth="1"/>
    <col min="12550" max="12550" width="14.5703125" bestFit="1" customWidth="1"/>
    <col min="12551" max="12551" width="10.140625" bestFit="1" customWidth="1"/>
    <col min="12554" max="12554" width="10.140625" bestFit="1" customWidth="1"/>
    <col min="12801" max="12801" width="5.28515625" customWidth="1"/>
    <col min="12802" max="12802" width="60.140625" customWidth="1"/>
    <col min="12803" max="12803" width="15.7109375" customWidth="1"/>
    <col min="12804" max="12804" width="17.85546875" customWidth="1"/>
    <col min="12805" max="12805" width="12.7109375" customWidth="1"/>
    <col min="12806" max="12806" width="14.5703125" bestFit="1" customWidth="1"/>
    <col min="12807" max="12807" width="10.140625" bestFit="1" customWidth="1"/>
    <col min="12810" max="12810" width="10.140625" bestFit="1" customWidth="1"/>
    <col min="13057" max="13057" width="5.28515625" customWidth="1"/>
    <col min="13058" max="13058" width="60.140625" customWidth="1"/>
    <col min="13059" max="13059" width="15.7109375" customWidth="1"/>
    <col min="13060" max="13060" width="17.85546875" customWidth="1"/>
    <col min="13061" max="13061" width="12.7109375" customWidth="1"/>
    <col min="13062" max="13062" width="14.5703125" bestFit="1" customWidth="1"/>
    <col min="13063" max="13063" width="10.140625" bestFit="1" customWidth="1"/>
    <col min="13066" max="13066" width="10.140625" bestFit="1" customWidth="1"/>
    <col min="13313" max="13313" width="5.28515625" customWidth="1"/>
    <col min="13314" max="13314" width="60.140625" customWidth="1"/>
    <col min="13315" max="13315" width="15.7109375" customWidth="1"/>
    <col min="13316" max="13316" width="17.85546875" customWidth="1"/>
    <col min="13317" max="13317" width="12.7109375" customWidth="1"/>
    <col min="13318" max="13318" width="14.5703125" bestFit="1" customWidth="1"/>
    <col min="13319" max="13319" width="10.140625" bestFit="1" customWidth="1"/>
    <col min="13322" max="13322" width="10.140625" bestFit="1" customWidth="1"/>
    <col min="13569" max="13569" width="5.28515625" customWidth="1"/>
    <col min="13570" max="13570" width="60.140625" customWidth="1"/>
    <col min="13571" max="13571" width="15.7109375" customWidth="1"/>
    <col min="13572" max="13572" width="17.85546875" customWidth="1"/>
    <col min="13573" max="13573" width="12.7109375" customWidth="1"/>
    <col min="13574" max="13574" width="14.5703125" bestFit="1" customWidth="1"/>
    <col min="13575" max="13575" width="10.140625" bestFit="1" customWidth="1"/>
    <col min="13578" max="13578" width="10.140625" bestFit="1" customWidth="1"/>
    <col min="13825" max="13825" width="5.28515625" customWidth="1"/>
    <col min="13826" max="13826" width="60.140625" customWidth="1"/>
    <col min="13827" max="13827" width="15.7109375" customWidth="1"/>
    <col min="13828" max="13828" width="17.85546875" customWidth="1"/>
    <col min="13829" max="13829" width="12.7109375" customWidth="1"/>
    <col min="13830" max="13830" width="14.5703125" bestFit="1" customWidth="1"/>
    <col min="13831" max="13831" width="10.140625" bestFit="1" customWidth="1"/>
    <col min="13834" max="13834" width="10.140625" bestFit="1" customWidth="1"/>
    <col min="14081" max="14081" width="5.28515625" customWidth="1"/>
    <col min="14082" max="14082" width="60.140625" customWidth="1"/>
    <col min="14083" max="14083" width="15.7109375" customWidth="1"/>
    <col min="14084" max="14084" width="17.85546875" customWidth="1"/>
    <col min="14085" max="14085" width="12.7109375" customWidth="1"/>
    <col min="14086" max="14086" width="14.5703125" bestFit="1" customWidth="1"/>
    <col min="14087" max="14087" width="10.140625" bestFit="1" customWidth="1"/>
    <col min="14090" max="14090" width="10.140625" bestFit="1" customWidth="1"/>
    <col min="14337" max="14337" width="5.28515625" customWidth="1"/>
    <col min="14338" max="14338" width="60.140625" customWidth="1"/>
    <col min="14339" max="14339" width="15.7109375" customWidth="1"/>
    <col min="14340" max="14340" width="17.85546875" customWidth="1"/>
    <col min="14341" max="14341" width="12.7109375" customWidth="1"/>
    <col min="14342" max="14342" width="14.5703125" bestFit="1" customWidth="1"/>
    <col min="14343" max="14343" width="10.140625" bestFit="1" customWidth="1"/>
    <col min="14346" max="14346" width="10.140625" bestFit="1" customWidth="1"/>
    <col min="14593" max="14593" width="5.28515625" customWidth="1"/>
    <col min="14594" max="14594" width="60.140625" customWidth="1"/>
    <col min="14595" max="14595" width="15.7109375" customWidth="1"/>
    <col min="14596" max="14596" width="17.85546875" customWidth="1"/>
    <col min="14597" max="14597" width="12.7109375" customWidth="1"/>
    <col min="14598" max="14598" width="14.5703125" bestFit="1" customWidth="1"/>
    <col min="14599" max="14599" width="10.140625" bestFit="1" customWidth="1"/>
    <col min="14602" max="14602" width="10.140625" bestFit="1" customWidth="1"/>
    <col min="14849" max="14849" width="5.28515625" customWidth="1"/>
    <col min="14850" max="14850" width="60.140625" customWidth="1"/>
    <col min="14851" max="14851" width="15.7109375" customWidth="1"/>
    <col min="14852" max="14852" width="17.85546875" customWidth="1"/>
    <col min="14853" max="14853" width="12.7109375" customWidth="1"/>
    <col min="14854" max="14854" width="14.5703125" bestFit="1" customWidth="1"/>
    <col min="14855" max="14855" width="10.140625" bestFit="1" customWidth="1"/>
    <col min="14858" max="14858" width="10.140625" bestFit="1" customWidth="1"/>
    <col min="15105" max="15105" width="5.28515625" customWidth="1"/>
    <col min="15106" max="15106" width="60.140625" customWidth="1"/>
    <col min="15107" max="15107" width="15.7109375" customWidth="1"/>
    <col min="15108" max="15108" width="17.85546875" customWidth="1"/>
    <col min="15109" max="15109" width="12.7109375" customWidth="1"/>
    <col min="15110" max="15110" width="14.5703125" bestFit="1" customWidth="1"/>
    <col min="15111" max="15111" width="10.140625" bestFit="1" customWidth="1"/>
    <col min="15114" max="15114" width="10.140625" bestFit="1" customWidth="1"/>
    <col min="15361" max="15361" width="5.28515625" customWidth="1"/>
    <col min="15362" max="15362" width="60.140625" customWidth="1"/>
    <col min="15363" max="15363" width="15.7109375" customWidth="1"/>
    <col min="15364" max="15364" width="17.85546875" customWidth="1"/>
    <col min="15365" max="15365" width="12.7109375" customWidth="1"/>
    <col min="15366" max="15366" width="14.5703125" bestFit="1" customWidth="1"/>
    <col min="15367" max="15367" width="10.140625" bestFit="1" customWidth="1"/>
    <col min="15370" max="15370" width="10.140625" bestFit="1" customWidth="1"/>
    <col min="15617" max="15617" width="5.28515625" customWidth="1"/>
    <col min="15618" max="15618" width="60.140625" customWidth="1"/>
    <col min="15619" max="15619" width="15.7109375" customWidth="1"/>
    <col min="15620" max="15620" width="17.85546875" customWidth="1"/>
    <col min="15621" max="15621" width="12.7109375" customWidth="1"/>
    <col min="15622" max="15622" width="14.5703125" bestFit="1" customWidth="1"/>
    <col min="15623" max="15623" width="10.140625" bestFit="1" customWidth="1"/>
    <col min="15626" max="15626" width="10.140625" bestFit="1" customWidth="1"/>
    <col min="15873" max="15873" width="5.28515625" customWidth="1"/>
    <col min="15874" max="15874" width="60.140625" customWidth="1"/>
    <col min="15875" max="15875" width="15.7109375" customWidth="1"/>
    <col min="15876" max="15876" width="17.85546875" customWidth="1"/>
    <col min="15877" max="15877" width="12.7109375" customWidth="1"/>
    <col min="15878" max="15878" width="14.5703125" bestFit="1" customWidth="1"/>
    <col min="15879" max="15879" width="10.140625" bestFit="1" customWidth="1"/>
    <col min="15882" max="15882" width="10.140625" bestFit="1" customWidth="1"/>
    <col min="16129" max="16129" width="5.28515625" customWidth="1"/>
    <col min="16130" max="16130" width="60.140625" customWidth="1"/>
    <col min="16131" max="16131" width="15.7109375" customWidth="1"/>
    <col min="16132" max="16132" width="17.85546875" customWidth="1"/>
    <col min="16133" max="16133" width="12.7109375" customWidth="1"/>
    <col min="16134" max="16134" width="14.5703125" bestFit="1" customWidth="1"/>
    <col min="16135" max="16135" width="10.140625" bestFit="1" customWidth="1"/>
    <col min="16138" max="16138" width="10.140625" bestFit="1" customWidth="1"/>
  </cols>
  <sheetData>
    <row r="1" spans="1:7" x14ac:dyDescent="0.25">
      <c r="D1" t="s">
        <v>0</v>
      </c>
    </row>
    <row r="2" spans="1:7" x14ac:dyDescent="0.25">
      <c r="D2" t="s">
        <v>28</v>
      </c>
    </row>
    <row r="3" spans="1:7" s="1" customFormat="1" ht="14.25" customHeight="1" x14ac:dyDescent="0.25">
      <c r="D3" s="1" t="s">
        <v>29</v>
      </c>
      <c r="F3" s="31"/>
    </row>
    <row r="4" spans="1:7" s="1" customFormat="1" x14ac:dyDescent="0.25">
      <c r="F4" s="31"/>
    </row>
    <row r="5" spans="1:7" s="1" customFormat="1" x14ac:dyDescent="0.25">
      <c r="A5" s="2"/>
      <c r="B5" s="3" t="s">
        <v>26</v>
      </c>
      <c r="C5" s="3"/>
      <c r="D5" s="3"/>
      <c r="E5" s="4"/>
      <c r="F5" s="32"/>
    </row>
    <row r="6" spans="1:7" s="1" customFormat="1" x14ac:dyDescent="0.25">
      <c r="A6" s="2"/>
      <c r="B6" s="3" t="s">
        <v>30</v>
      </c>
      <c r="C6" s="3"/>
      <c r="D6" s="3"/>
      <c r="E6" s="4"/>
      <c r="F6" s="32"/>
    </row>
    <row r="7" spans="1:7" s="1" customFormat="1" x14ac:dyDescent="0.25">
      <c r="A7" s="2"/>
      <c r="B7" s="2" t="s">
        <v>1</v>
      </c>
      <c r="C7" s="5">
        <v>5905.5</v>
      </c>
      <c r="D7" s="2"/>
      <c r="E7" s="2"/>
      <c r="F7" s="32"/>
    </row>
    <row r="8" spans="1:7" s="1" customFormat="1" x14ac:dyDescent="0.25">
      <c r="A8" s="6" t="s">
        <v>2</v>
      </c>
      <c r="B8" s="6" t="s">
        <v>3</v>
      </c>
      <c r="C8" s="6" t="s">
        <v>4</v>
      </c>
      <c r="D8" s="6" t="s">
        <v>5</v>
      </c>
      <c r="E8" s="6" t="s">
        <v>6</v>
      </c>
      <c r="F8" s="33" t="s">
        <v>4</v>
      </c>
    </row>
    <row r="9" spans="1:7" s="1" customFormat="1" x14ac:dyDescent="0.25">
      <c r="A9" s="6"/>
      <c r="B9" s="6" t="s">
        <v>7</v>
      </c>
      <c r="C9" s="6" t="s">
        <v>23</v>
      </c>
      <c r="D9" s="6"/>
      <c r="E9" s="6"/>
      <c r="F9" s="34"/>
    </row>
    <row r="10" spans="1:7" s="1" customFormat="1" x14ac:dyDescent="0.25">
      <c r="A10" s="8">
        <v>1</v>
      </c>
      <c r="B10" s="8" t="s">
        <v>8</v>
      </c>
      <c r="C10" s="8">
        <v>0</v>
      </c>
      <c r="D10" s="35">
        <v>680519.4</v>
      </c>
      <c r="E10" s="35">
        <v>536741.30000000005</v>
      </c>
      <c r="F10" s="35">
        <v>142844.29999999999</v>
      </c>
    </row>
    <row r="11" spans="1:7" s="1" customFormat="1" x14ac:dyDescent="0.25">
      <c r="A11" s="7"/>
      <c r="B11" s="7"/>
      <c r="C11" s="7"/>
      <c r="D11" s="10"/>
      <c r="E11" s="9"/>
      <c r="F11" s="35"/>
    </row>
    <row r="12" spans="1:7" s="1" customFormat="1" x14ac:dyDescent="0.25">
      <c r="A12" s="7"/>
      <c r="B12" s="11" t="s">
        <v>24</v>
      </c>
      <c r="C12" s="8"/>
      <c r="D12" s="8"/>
      <c r="E12" s="8"/>
      <c r="F12" s="36">
        <f>SUM(F10:F11)</f>
        <v>142844.29999999999</v>
      </c>
    </row>
    <row r="13" spans="1:7" s="1" customFormat="1" x14ac:dyDescent="0.25">
      <c r="A13" s="7"/>
      <c r="B13" s="11" t="s">
        <v>9</v>
      </c>
      <c r="C13" s="12">
        <f>E10/(C10+D10)</f>
        <v>0.78872299599394236</v>
      </c>
      <c r="D13" s="8"/>
      <c r="E13" s="8"/>
      <c r="F13" s="36"/>
    </row>
    <row r="14" spans="1:7" s="1" customFormat="1" x14ac:dyDescent="0.25">
      <c r="A14" s="5"/>
      <c r="B14" s="13"/>
      <c r="C14" s="2"/>
      <c r="D14" s="3"/>
      <c r="E14" s="2"/>
      <c r="F14" s="32"/>
    </row>
    <row r="15" spans="1:7" s="1" customFormat="1" x14ac:dyDescent="0.25">
      <c r="A15" s="5"/>
      <c r="B15" s="13" t="s">
        <v>10</v>
      </c>
      <c r="C15" s="2"/>
      <c r="D15" s="3" t="s">
        <v>31</v>
      </c>
      <c r="E15" s="2"/>
      <c r="F15" s="32"/>
      <c r="G15" s="14"/>
    </row>
    <row r="16" spans="1:7" s="1" customFormat="1" x14ac:dyDescent="0.25">
      <c r="A16" s="15">
        <v>2</v>
      </c>
      <c r="B16" s="16" t="s">
        <v>11</v>
      </c>
      <c r="C16" s="17" t="s">
        <v>12</v>
      </c>
      <c r="D16" s="17" t="s">
        <v>13</v>
      </c>
      <c r="E16" s="18"/>
      <c r="F16" s="37" t="s">
        <v>14</v>
      </c>
    </row>
    <row r="17" spans="1:6" s="1" customFormat="1" x14ac:dyDescent="0.25">
      <c r="A17" s="19"/>
      <c r="B17" s="20"/>
      <c r="C17" s="21" t="s">
        <v>15</v>
      </c>
      <c r="D17" s="21" t="s">
        <v>16</v>
      </c>
      <c r="E17" s="22"/>
      <c r="F17" s="38" t="s">
        <v>32</v>
      </c>
    </row>
    <row r="18" spans="1:6" s="1" customFormat="1" ht="24" x14ac:dyDescent="0.25">
      <c r="A18" s="8"/>
      <c r="B18" s="53" t="s">
        <v>55</v>
      </c>
      <c r="C18" s="29">
        <v>0.5</v>
      </c>
      <c r="D18" s="30" t="s">
        <v>51</v>
      </c>
      <c r="E18" s="7"/>
      <c r="F18" s="34">
        <f>0.5*10*5905.5</f>
        <v>29527.5</v>
      </c>
    </row>
    <row r="19" spans="1:6" s="1" customFormat="1" x14ac:dyDescent="0.25">
      <c r="A19" s="8"/>
      <c r="B19" s="11" t="s">
        <v>27</v>
      </c>
      <c r="C19" s="29">
        <v>0</v>
      </c>
      <c r="D19" s="30" t="s">
        <v>51</v>
      </c>
      <c r="E19" s="7"/>
      <c r="F19" s="34">
        <v>0</v>
      </c>
    </row>
    <row r="20" spans="1:6" s="1" customFormat="1" x14ac:dyDescent="0.25">
      <c r="A20" s="23"/>
      <c r="B20" s="25" t="s">
        <v>17</v>
      </c>
      <c r="C20" s="25">
        <v>1.5</v>
      </c>
      <c r="D20" s="25" t="s">
        <v>51</v>
      </c>
      <c r="E20" s="25"/>
      <c r="F20" s="39">
        <f>1.5*10*5905.5</f>
        <v>88582.5</v>
      </c>
    </row>
    <row r="21" spans="1:6" s="1" customFormat="1" x14ac:dyDescent="0.25">
      <c r="A21" s="25"/>
      <c r="B21" s="25" t="s">
        <v>19</v>
      </c>
      <c r="C21" s="25"/>
      <c r="D21" s="25"/>
      <c r="E21" s="25"/>
      <c r="F21" s="39"/>
    </row>
    <row r="22" spans="1:6" s="1" customFormat="1" ht="30" x14ac:dyDescent="0.25">
      <c r="A22" s="26"/>
      <c r="B22" s="44" t="s">
        <v>33</v>
      </c>
      <c r="C22" s="26"/>
      <c r="D22" s="26"/>
      <c r="E22" s="26"/>
      <c r="F22" s="40"/>
    </row>
    <row r="23" spans="1:6" s="1" customFormat="1" ht="30" x14ac:dyDescent="0.25">
      <c r="A23" s="23"/>
      <c r="B23" s="45" t="s">
        <v>34</v>
      </c>
      <c r="C23" s="23">
        <v>0.5</v>
      </c>
      <c r="D23" s="23" t="s">
        <v>51</v>
      </c>
      <c r="E23" s="24"/>
      <c r="F23" s="41">
        <f>0.5*10*5905.5</f>
        <v>29527.5</v>
      </c>
    </row>
    <row r="24" spans="1:6" s="1" customFormat="1" x14ac:dyDescent="0.25">
      <c r="A24" s="23"/>
      <c r="B24" s="60" t="s">
        <v>20</v>
      </c>
      <c r="C24" s="62">
        <v>0.4</v>
      </c>
      <c r="D24" s="60" t="s">
        <v>51</v>
      </c>
      <c r="E24" s="64"/>
      <c r="F24" s="66">
        <f>0.4*10*5905.5</f>
        <v>23622</v>
      </c>
    </row>
    <row r="25" spans="1:6" s="1" customFormat="1" x14ac:dyDescent="0.25">
      <c r="A25" s="26"/>
      <c r="B25" s="61"/>
      <c r="C25" s="63"/>
      <c r="D25" s="61"/>
      <c r="E25" s="65"/>
      <c r="F25" s="67"/>
    </row>
    <row r="26" spans="1:6" s="1" customFormat="1" x14ac:dyDescent="0.25">
      <c r="A26" s="23"/>
      <c r="B26" s="25" t="s">
        <v>21</v>
      </c>
      <c r="C26" s="54">
        <v>0.3</v>
      </c>
      <c r="D26" s="56" t="s">
        <v>51</v>
      </c>
      <c r="E26" s="23"/>
      <c r="F26" s="58">
        <f>0.3*10*5905.5</f>
        <v>17716.5</v>
      </c>
    </row>
    <row r="27" spans="1:6" s="1" customFormat="1" x14ac:dyDescent="0.25">
      <c r="A27" s="26"/>
      <c r="B27" s="26" t="s">
        <v>22</v>
      </c>
      <c r="C27" s="55"/>
      <c r="D27" s="57"/>
      <c r="E27" s="26"/>
      <c r="F27" s="59"/>
    </row>
    <row r="28" spans="1:6" s="1" customFormat="1" ht="30" x14ac:dyDescent="0.25">
      <c r="A28" s="23"/>
      <c r="B28" s="27" t="s">
        <v>37</v>
      </c>
      <c r="C28" s="23">
        <v>0.12</v>
      </c>
      <c r="D28" s="23" t="s">
        <v>51</v>
      </c>
      <c r="E28" s="23"/>
      <c r="F28" s="41">
        <f>0.12*10*5905.5</f>
        <v>7086.5999999999995</v>
      </c>
    </row>
    <row r="29" spans="1:6" s="1" customFormat="1" x14ac:dyDescent="0.25">
      <c r="A29" s="23"/>
      <c r="B29" s="28" t="s">
        <v>38</v>
      </c>
      <c r="C29" s="28">
        <v>0.5</v>
      </c>
      <c r="D29" s="28" t="s">
        <v>51</v>
      </c>
      <c r="E29" s="28"/>
      <c r="F29" s="42">
        <f>0.5*10*5905.5</f>
        <v>29527.5</v>
      </c>
    </row>
    <row r="30" spans="1:6" s="1" customFormat="1" x14ac:dyDescent="0.25">
      <c r="A30" s="23"/>
      <c r="B30" s="27" t="s">
        <v>36</v>
      </c>
      <c r="C30" s="23">
        <v>0.43</v>
      </c>
      <c r="D30" s="23" t="s">
        <v>51</v>
      </c>
      <c r="E30" s="23"/>
      <c r="F30" s="41">
        <f>0.43*10*5905.5</f>
        <v>25393.649999999998</v>
      </c>
    </row>
    <row r="31" spans="1:6" s="1" customFormat="1" x14ac:dyDescent="0.25">
      <c r="A31" s="28"/>
      <c r="B31" s="28" t="s">
        <v>35</v>
      </c>
      <c r="C31" s="28">
        <v>5</v>
      </c>
      <c r="D31" s="28" t="s">
        <v>51</v>
      </c>
      <c r="E31" s="28"/>
      <c r="F31" s="42">
        <f>5*10*5905.5</f>
        <v>295275</v>
      </c>
    </row>
    <row r="32" spans="1:6" s="1" customFormat="1" x14ac:dyDescent="0.25">
      <c r="A32" s="28"/>
      <c r="B32" s="28"/>
      <c r="C32" s="28"/>
      <c r="D32" s="28"/>
      <c r="E32" s="28"/>
      <c r="F32" s="42"/>
    </row>
    <row r="33" spans="1:6" s="1" customFormat="1" x14ac:dyDescent="0.25">
      <c r="A33" s="47"/>
      <c r="B33" s="48" t="s">
        <v>25</v>
      </c>
      <c r="C33" s="49">
        <f>SUM(C18:C32)</f>
        <v>9.25</v>
      </c>
      <c r="D33" s="48"/>
      <c r="E33" s="49"/>
      <c r="F33" s="50">
        <f>SUM(F18:F32)</f>
        <v>546258.75</v>
      </c>
    </row>
    <row r="34" spans="1:6" s="1" customFormat="1" ht="25.5" x14ac:dyDescent="0.25">
      <c r="A34" s="26"/>
      <c r="B34" s="46" t="s">
        <v>39</v>
      </c>
      <c r="C34" s="26"/>
      <c r="D34" s="26"/>
      <c r="E34" s="26"/>
      <c r="F34" s="43">
        <f>F33+C10-E10</f>
        <v>9517.4499999999534</v>
      </c>
    </row>
    <row r="35" spans="1:6" s="1" customFormat="1" x14ac:dyDescent="0.25">
      <c r="A35" s="28"/>
      <c r="B35" s="28"/>
      <c r="C35" s="28"/>
      <c r="D35" s="28"/>
      <c r="E35" s="28"/>
      <c r="F35" s="42"/>
    </row>
  </sheetData>
  <mergeCells count="8">
    <mergeCell ref="C26:C27"/>
    <mergeCell ref="D26:D27"/>
    <mergeCell ref="F26:F27"/>
    <mergeCell ref="B24:B25"/>
    <mergeCell ref="C24:C25"/>
    <mergeCell ref="D24:D25"/>
    <mergeCell ref="E24:E25"/>
    <mergeCell ref="F24:F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Спортивный 5</vt:lpstr>
      <vt:lpstr>мясникова 23-1</vt:lpstr>
      <vt:lpstr>мясникова 18</vt:lpstr>
      <vt:lpstr>бийская 11</vt:lpstr>
      <vt:lpstr>набережная 1</vt:lpstr>
      <vt:lpstr>советская 9</vt:lpstr>
      <vt:lpstr>Ждановых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lider_3</dc:creator>
  <cp:lastModifiedBy>Пользователь</cp:lastModifiedBy>
  <cp:lastPrinted>2019-12-16T09:26:56Z</cp:lastPrinted>
  <dcterms:created xsi:type="dcterms:W3CDTF">2015-06-05T18:19:34Z</dcterms:created>
  <dcterms:modified xsi:type="dcterms:W3CDTF">2020-04-24T04:40:52Z</dcterms:modified>
</cp:coreProperties>
</file>